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690" windowWidth="23475" windowHeight="10230" activeTab="4"/>
  </bookViews>
  <sheets>
    <sheet name="Hárok1" sheetId="1" r:id="rId1"/>
    <sheet name="Hárok2" sheetId="2" r:id="rId2"/>
    <sheet name="Hárok3" sheetId="3" r:id="rId3"/>
    <sheet name="Hárok4" sheetId="4" r:id="rId4"/>
    <sheet name="Hárok5" sheetId="5" r:id="rId5"/>
  </sheets>
  <calcPr calcId="145621"/>
</workbook>
</file>

<file path=xl/calcChain.xml><?xml version="1.0" encoding="utf-8"?>
<calcChain xmlns="http://schemas.openxmlformats.org/spreadsheetml/2006/main">
  <c r="J66" i="3" l="1"/>
  <c r="J68" i="3" s="1"/>
  <c r="D57" i="3"/>
  <c r="E57" i="3"/>
  <c r="F57" i="3"/>
  <c r="G57" i="3"/>
  <c r="H57" i="3"/>
  <c r="I57" i="3"/>
  <c r="J57" i="3"/>
  <c r="K57" i="3"/>
  <c r="L57" i="3"/>
  <c r="M57" i="3"/>
  <c r="N57" i="3"/>
  <c r="C57" i="3"/>
  <c r="F8" i="3"/>
  <c r="G8" i="3"/>
  <c r="H8" i="3"/>
  <c r="I8" i="3"/>
  <c r="J8" i="3"/>
  <c r="E8" i="3"/>
  <c r="E11" i="2" l="1"/>
  <c r="F11" i="2"/>
  <c r="G11" i="2"/>
  <c r="H11" i="2"/>
  <c r="I11" i="2"/>
  <c r="J11" i="2"/>
  <c r="K11" i="2"/>
  <c r="L11" i="2"/>
  <c r="M11" i="2"/>
  <c r="N11" i="2"/>
  <c r="O11" i="2"/>
  <c r="D11" i="2"/>
  <c r="E22" i="5" l="1"/>
  <c r="F22" i="5"/>
  <c r="G22" i="5"/>
  <c r="H22" i="5"/>
  <c r="J22" i="5"/>
  <c r="K22" i="5"/>
  <c r="L22" i="5"/>
  <c r="M22" i="5"/>
  <c r="D22" i="5"/>
  <c r="E21" i="5"/>
  <c r="F21" i="5"/>
  <c r="G21" i="5"/>
  <c r="H21" i="5"/>
  <c r="J21" i="5"/>
  <c r="K21" i="5"/>
  <c r="L21" i="5"/>
  <c r="M21" i="5"/>
  <c r="D21" i="5"/>
  <c r="E20" i="5"/>
  <c r="F20" i="5"/>
  <c r="G20" i="5"/>
  <c r="H20" i="5"/>
  <c r="J20" i="5"/>
  <c r="K20" i="5"/>
  <c r="L20" i="5"/>
  <c r="M20" i="5"/>
  <c r="D20" i="5"/>
  <c r="E19" i="5"/>
  <c r="F19" i="5"/>
  <c r="G19" i="5"/>
  <c r="H19" i="5"/>
  <c r="J19" i="5"/>
  <c r="K19" i="5"/>
  <c r="L19" i="5"/>
  <c r="M19" i="5"/>
  <c r="D19" i="5"/>
  <c r="E18" i="5"/>
  <c r="F18" i="5"/>
  <c r="G18" i="5"/>
  <c r="H18" i="5"/>
  <c r="J18" i="5"/>
  <c r="K18" i="5"/>
  <c r="L18" i="5"/>
  <c r="M18" i="5"/>
  <c r="D18" i="5"/>
  <c r="E17" i="5"/>
  <c r="F17" i="5"/>
  <c r="G17" i="5"/>
  <c r="H17" i="5"/>
  <c r="J17" i="5"/>
  <c r="K17" i="5"/>
  <c r="L17" i="5"/>
  <c r="M17" i="5"/>
  <c r="D17" i="5"/>
  <c r="E16" i="5"/>
  <c r="F16" i="5"/>
  <c r="G16" i="5"/>
  <c r="H16" i="5"/>
  <c r="J16" i="5"/>
  <c r="K16" i="5"/>
  <c r="L16" i="5"/>
  <c r="M16" i="5"/>
  <c r="D16" i="5"/>
  <c r="E15" i="5"/>
  <c r="F15" i="5"/>
  <c r="G15" i="5"/>
  <c r="H15" i="5"/>
  <c r="J15" i="5"/>
  <c r="K15" i="5"/>
  <c r="L15" i="5"/>
  <c r="M15" i="5"/>
  <c r="D15" i="5"/>
  <c r="E14" i="5"/>
  <c r="F14" i="5"/>
  <c r="G14" i="5"/>
  <c r="H14" i="5"/>
  <c r="J14" i="5"/>
  <c r="K14" i="5"/>
  <c r="L14" i="5"/>
  <c r="M14" i="5"/>
  <c r="E13" i="5"/>
  <c r="F13" i="5"/>
  <c r="G13" i="5"/>
  <c r="H13" i="5"/>
  <c r="J13" i="5"/>
  <c r="K13" i="5"/>
  <c r="L13" i="5"/>
  <c r="M13" i="5"/>
  <c r="D13" i="5"/>
  <c r="D14" i="5"/>
  <c r="E12" i="5"/>
  <c r="F12" i="5"/>
  <c r="G12" i="5"/>
  <c r="H12" i="5"/>
  <c r="J12" i="5"/>
  <c r="K12" i="5"/>
  <c r="L12" i="5"/>
  <c r="M12" i="5"/>
  <c r="D12" i="5"/>
  <c r="E11" i="5"/>
  <c r="F11" i="5"/>
  <c r="G11" i="5"/>
  <c r="H11" i="5"/>
  <c r="J11" i="5"/>
  <c r="K11" i="5"/>
  <c r="L11" i="5"/>
  <c r="M11" i="5"/>
  <c r="D11" i="5"/>
  <c r="E10" i="5"/>
  <c r="F10" i="5"/>
  <c r="G10" i="5"/>
  <c r="H10" i="5"/>
  <c r="J10" i="5"/>
  <c r="K10" i="5"/>
  <c r="L10" i="5"/>
  <c r="M10" i="5"/>
  <c r="D10" i="5"/>
  <c r="M8" i="5"/>
  <c r="J8" i="5"/>
  <c r="F8" i="5"/>
  <c r="E8" i="5"/>
  <c r="M7" i="5"/>
  <c r="L7" i="5"/>
  <c r="L8" i="5" s="1"/>
  <c r="K7" i="5"/>
  <c r="K8" i="5" s="1"/>
  <c r="J7" i="5"/>
  <c r="I7" i="5"/>
  <c r="I8" i="5" s="1"/>
  <c r="H7" i="5"/>
  <c r="H8" i="5" s="1"/>
  <c r="G7" i="5"/>
  <c r="G8" i="5" s="1"/>
  <c r="F7" i="5"/>
  <c r="E7" i="5"/>
  <c r="D7" i="5"/>
  <c r="D8" i="5" s="1"/>
  <c r="C78" i="3"/>
  <c r="N68" i="3"/>
  <c r="M68" i="3"/>
  <c r="L68" i="3"/>
  <c r="K68" i="3"/>
  <c r="I68" i="3"/>
  <c r="H68" i="3"/>
  <c r="G68" i="3"/>
  <c r="F68" i="3"/>
  <c r="E68" i="3"/>
  <c r="D68" i="3"/>
  <c r="C68" i="3"/>
  <c r="N46" i="3"/>
  <c r="N47" i="3" s="1"/>
  <c r="N48" i="3" s="1"/>
  <c r="M46" i="3"/>
  <c r="M47" i="3" s="1"/>
  <c r="M48" i="3" s="1"/>
  <c r="L46" i="3"/>
  <c r="L47" i="3" s="1"/>
  <c r="L48" i="3" s="1"/>
  <c r="K46" i="3"/>
  <c r="K47" i="3" s="1"/>
  <c r="K48" i="3" s="1"/>
  <c r="J46" i="3"/>
  <c r="J47" i="3" s="1"/>
  <c r="J48" i="3" s="1"/>
  <c r="I46" i="3"/>
  <c r="I47" i="3" s="1"/>
  <c r="I48" i="3" s="1"/>
  <c r="H46" i="3"/>
  <c r="H47" i="3" s="1"/>
  <c r="H48" i="3" s="1"/>
  <c r="G46" i="3"/>
  <c r="G47" i="3" s="1"/>
  <c r="G48" i="3" s="1"/>
  <c r="F46" i="3"/>
  <c r="F47" i="3" s="1"/>
  <c r="F48" i="3" s="1"/>
  <c r="E46" i="3"/>
  <c r="E47" i="3" s="1"/>
  <c r="E48" i="3" s="1"/>
  <c r="D46" i="3"/>
  <c r="D47" i="3" s="1"/>
  <c r="D48" i="3" s="1"/>
  <c r="C46" i="3"/>
  <c r="C47" i="3" s="1"/>
  <c r="C48" i="3" s="1"/>
  <c r="N36" i="3"/>
  <c r="N37" i="3" s="1"/>
  <c r="N38" i="3" s="1"/>
  <c r="M36" i="3"/>
  <c r="M37" i="3" s="1"/>
  <c r="M38" i="3" s="1"/>
  <c r="L36" i="3"/>
  <c r="L37" i="3" s="1"/>
  <c r="L38" i="3" s="1"/>
  <c r="K36" i="3"/>
  <c r="K37" i="3" s="1"/>
  <c r="K38" i="3" s="1"/>
  <c r="J36" i="3"/>
  <c r="J37" i="3" s="1"/>
  <c r="J38" i="3" s="1"/>
  <c r="I36" i="3"/>
  <c r="I37" i="3" s="1"/>
  <c r="I38" i="3" s="1"/>
  <c r="H36" i="3"/>
  <c r="H37" i="3" s="1"/>
  <c r="H38" i="3" s="1"/>
  <c r="G36" i="3"/>
  <c r="G37" i="3" s="1"/>
  <c r="G38" i="3" s="1"/>
  <c r="F36" i="3"/>
  <c r="F37" i="3" s="1"/>
  <c r="F38" i="3" s="1"/>
  <c r="E36" i="3"/>
  <c r="E37" i="3" s="1"/>
  <c r="E38" i="3" s="1"/>
  <c r="D36" i="3"/>
  <c r="D37" i="3" s="1"/>
  <c r="D38" i="3" s="1"/>
  <c r="C36" i="3"/>
  <c r="C37" i="3" s="1"/>
  <c r="C38" i="3" s="1"/>
  <c r="L27" i="3"/>
  <c r="L28" i="3" s="1"/>
  <c r="L26" i="3"/>
  <c r="K26" i="3"/>
  <c r="K27" i="3" s="1"/>
  <c r="K28" i="3" s="1"/>
  <c r="J26" i="3"/>
  <c r="J27" i="3" s="1"/>
  <c r="J28" i="3" s="1"/>
  <c r="I26" i="3"/>
  <c r="I27" i="3" s="1"/>
  <c r="I28" i="3" s="1"/>
  <c r="H26" i="3"/>
  <c r="H27" i="3" s="1"/>
  <c r="H28" i="3" s="1"/>
  <c r="G26" i="3"/>
  <c r="G27" i="3" s="1"/>
  <c r="G28" i="3" s="1"/>
  <c r="F26" i="3"/>
  <c r="F27" i="3" s="1"/>
  <c r="F28" i="3" s="1"/>
  <c r="E26" i="3"/>
  <c r="E27" i="3" s="1"/>
  <c r="E28" i="3" s="1"/>
  <c r="L16" i="3"/>
  <c r="L17" i="3" s="1"/>
  <c r="L18" i="3" s="1"/>
  <c r="K16" i="3"/>
  <c r="K17" i="3" s="1"/>
  <c r="K18" i="3" s="1"/>
  <c r="J16" i="3"/>
  <c r="J17" i="3" s="1"/>
  <c r="J18" i="3" s="1"/>
  <c r="I16" i="3"/>
  <c r="I17" i="3" s="1"/>
  <c r="I18" i="3" s="1"/>
  <c r="H16" i="3"/>
  <c r="H17" i="3" s="1"/>
  <c r="H18" i="3" s="1"/>
  <c r="G16" i="3"/>
  <c r="G17" i="3" s="1"/>
  <c r="G18" i="3" s="1"/>
  <c r="F16" i="3"/>
  <c r="F17" i="3" s="1"/>
  <c r="F18" i="3" s="1"/>
  <c r="E16" i="3"/>
  <c r="E17" i="3" s="1"/>
  <c r="E18" i="3" s="1"/>
  <c r="O45" i="2"/>
  <c r="N45" i="2"/>
  <c r="M45" i="2"/>
  <c r="L45" i="2"/>
  <c r="K45" i="2"/>
  <c r="J45" i="2"/>
  <c r="I45" i="2"/>
  <c r="H45" i="2"/>
  <c r="G45" i="2"/>
  <c r="F45" i="2"/>
  <c r="E45" i="2"/>
  <c r="D45" i="2"/>
  <c r="O44" i="2"/>
  <c r="N44" i="2"/>
  <c r="M44" i="2"/>
  <c r="L44" i="2"/>
  <c r="K44" i="2"/>
  <c r="J44" i="2"/>
  <c r="I44" i="2"/>
  <c r="H44" i="2"/>
  <c r="G44" i="2"/>
  <c r="F44" i="2"/>
  <c r="E44" i="2"/>
  <c r="D44" i="2"/>
  <c r="O43" i="2"/>
  <c r="N43" i="2"/>
  <c r="M43" i="2"/>
  <c r="L43" i="2"/>
  <c r="K43" i="2"/>
  <c r="J43" i="2"/>
  <c r="I43" i="2"/>
  <c r="H43" i="2"/>
  <c r="G43" i="2"/>
  <c r="F43" i="2"/>
  <c r="E43" i="2"/>
  <c r="D43" i="2"/>
  <c r="O42" i="2"/>
  <c r="N42" i="2"/>
  <c r="M42" i="2"/>
  <c r="L42" i="2"/>
  <c r="K42" i="2"/>
  <c r="J42" i="2"/>
  <c r="I42" i="2"/>
  <c r="H42" i="2"/>
  <c r="G42" i="2"/>
  <c r="F42" i="2"/>
  <c r="E42" i="2"/>
  <c r="D42" i="2"/>
  <c r="O41" i="2"/>
  <c r="N41" i="2"/>
  <c r="M41" i="2"/>
  <c r="L41" i="2"/>
  <c r="K41" i="2"/>
  <c r="J41" i="2"/>
  <c r="I41" i="2"/>
  <c r="H41" i="2"/>
  <c r="G41" i="2"/>
  <c r="F41" i="2"/>
  <c r="E41" i="2"/>
  <c r="D41" i="2"/>
  <c r="O40" i="2"/>
  <c r="N40" i="2"/>
  <c r="M40" i="2"/>
  <c r="L40" i="2"/>
  <c r="K40" i="2"/>
  <c r="J40" i="2"/>
  <c r="I40" i="2"/>
  <c r="H40" i="2"/>
  <c r="G40" i="2"/>
  <c r="F40" i="2"/>
  <c r="E40" i="2"/>
  <c r="D40" i="2"/>
  <c r="O39" i="2"/>
  <c r="N39" i="2"/>
  <c r="M39" i="2"/>
  <c r="L39" i="2"/>
  <c r="K39" i="2"/>
  <c r="J39" i="2"/>
  <c r="I39" i="2"/>
  <c r="H39" i="2"/>
  <c r="G39" i="2"/>
  <c r="F39" i="2"/>
  <c r="E39" i="2"/>
  <c r="D39" i="2"/>
  <c r="O38" i="2"/>
  <c r="N38" i="2"/>
  <c r="M38" i="2"/>
  <c r="L38" i="2"/>
  <c r="K38" i="2"/>
  <c r="J38" i="2"/>
  <c r="I38" i="2"/>
  <c r="H38" i="2"/>
  <c r="G38" i="2"/>
  <c r="F38" i="2"/>
  <c r="E38" i="2"/>
  <c r="D38" i="2"/>
  <c r="O37" i="2"/>
  <c r="N37" i="2"/>
  <c r="M37" i="2"/>
  <c r="L37" i="2"/>
  <c r="K37" i="2"/>
  <c r="J37" i="2"/>
  <c r="I37" i="2"/>
  <c r="H37" i="2"/>
  <c r="G37" i="2"/>
  <c r="F37" i="2"/>
  <c r="E37" i="2"/>
  <c r="D37" i="2"/>
  <c r="O36" i="2"/>
  <c r="N36" i="2"/>
  <c r="M36" i="2"/>
  <c r="L36" i="2"/>
  <c r="K36" i="2"/>
  <c r="J36" i="2"/>
  <c r="I36" i="2"/>
  <c r="H36" i="2"/>
  <c r="G36" i="2"/>
  <c r="F36" i="2"/>
  <c r="E36" i="2"/>
  <c r="D36" i="2"/>
  <c r="O35" i="2"/>
  <c r="N35" i="2"/>
  <c r="M35" i="2"/>
  <c r="L35" i="2"/>
  <c r="K35" i="2"/>
  <c r="J35" i="2"/>
  <c r="I35" i="2"/>
  <c r="H35" i="2"/>
  <c r="G35" i="2"/>
  <c r="F35" i="2"/>
  <c r="E35" i="2"/>
  <c r="D35" i="2"/>
  <c r="O34" i="2"/>
  <c r="N34" i="2"/>
  <c r="M34" i="2"/>
  <c r="L34" i="2"/>
  <c r="K34" i="2"/>
  <c r="J34" i="2"/>
  <c r="I34" i="2"/>
  <c r="H34" i="2"/>
  <c r="G34" i="2"/>
  <c r="F34" i="2"/>
  <c r="E34" i="2"/>
  <c r="D34" i="2"/>
  <c r="O33" i="2"/>
  <c r="N33" i="2"/>
  <c r="M33" i="2"/>
  <c r="L33" i="2"/>
  <c r="K33" i="2"/>
  <c r="J33" i="2"/>
  <c r="I33" i="2"/>
  <c r="H33" i="2"/>
  <c r="G33" i="2"/>
  <c r="F33" i="2"/>
  <c r="E33" i="2"/>
  <c r="D33" i="2"/>
  <c r="O32" i="2"/>
  <c r="N32" i="2"/>
  <c r="M32" i="2"/>
  <c r="L32" i="2"/>
  <c r="K32" i="2"/>
  <c r="J32" i="2"/>
  <c r="I32" i="2"/>
  <c r="H32" i="2"/>
  <c r="G32" i="2"/>
  <c r="F32" i="2"/>
  <c r="E32" i="2"/>
  <c r="D32" i="2"/>
  <c r="O31" i="2"/>
  <c r="N31" i="2"/>
  <c r="M31" i="2"/>
  <c r="L31" i="2"/>
  <c r="K31" i="2"/>
  <c r="J31" i="2"/>
  <c r="I31" i="2"/>
  <c r="H31" i="2"/>
  <c r="G31" i="2"/>
  <c r="F31" i="2"/>
  <c r="E31" i="2"/>
  <c r="D31" i="2"/>
  <c r="O30" i="2"/>
  <c r="N30" i="2"/>
  <c r="M30" i="2"/>
  <c r="L30" i="2"/>
  <c r="K30" i="2"/>
  <c r="J30" i="2"/>
  <c r="I30" i="2"/>
  <c r="H30" i="2"/>
  <c r="G30" i="2"/>
  <c r="F30" i="2"/>
  <c r="E30" i="2"/>
  <c r="D30" i="2"/>
  <c r="O29" i="2"/>
  <c r="N29" i="2"/>
  <c r="M29" i="2"/>
  <c r="L29" i="2"/>
  <c r="K29" i="2"/>
  <c r="J29" i="2"/>
  <c r="I29" i="2"/>
  <c r="H29" i="2"/>
  <c r="G29" i="2"/>
  <c r="F29" i="2"/>
  <c r="E29" i="2"/>
  <c r="D29" i="2"/>
  <c r="O28" i="2"/>
  <c r="N28" i="2"/>
  <c r="M28" i="2"/>
  <c r="L28" i="2"/>
  <c r="K28" i="2"/>
  <c r="J28" i="2"/>
  <c r="I28" i="2"/>
  <c r="H28" i="2"/>
  <c r="G28" i="2"/>
  <c r="F28" i="2"/>
  <c r="E28" i="2"/>
  <c r="D28" i="2"/>
  <c r="O27" i="2"/>
  <c r="N27" i="2"/>
  <c r="M27" i="2"/>
  <c r="L27" i="2"/>
  <c r="K27" i="2"/>
  <c r="J27" i="2"/>
  <c r="I27" i="2"/>
  <c r="H27" i="2"/>
  <c r="G27" i="2"/>
  <c r="F27" i="2"/>
  <c r="E27" i="2"/>
  <c r="D27" i="2"/>
  <c r="O26" i="2"/>
  <c r="N26" i="2"/>
  <c r="M26" i="2"/>
  <c r="L26" i="2"/>
  <c r="K26" i="2"/>
  <c r="J26" i="2"/>
  <c r="I26" i="2"/>
  <c r="H26" i="2"/>
  <c r="G26" i="2"/>
  <c r="F26" i="2"/>
  <c r="E26" i="2"/>
  <c r="D26" i="2"/>
  <c r="O25" i="2"/>
  <c r="N25" i="2"/>
  <c r="M25" i="2"/>
  <c r="L25" i="2"/>
  <c r="K25" i="2"/>
  <c r="J25" i="2"/>
  <c r="I25" i="2"/>
  <c r="H25" i="2"/>
  <c r="G25" i="2"/>
  <c r="F25" i="2"/>
  <c r="E25" i="2"/>
  <c r="D25" i="2"/>
  <c r="O24" i="2"/>
  <c r="N24" i="2"/>
  <c r="M24" i="2"/>
  <c r="L24" i="2"/>
  <c r="K24" i="2"/>
  <c r="J24" i="2"/>
  <c r="I24" i="2"/>
  <c r="H24" i="2"/>
  <c r="G24" i="2"/>
  <c r="F24" i="2"/>
  <c r="E24" i="2"/>
  <c r="D24" i="2"/>
  <c r="O23" i="2"/>
  <c r="N23" i="2"/>
  <c r="M23" i="2"/>
  <c r="L23" i="2"/>
  <c r="K23" i="2"/>
  <c r="J23" i="2"/>
  <c r="I23" i="2"/>
  <c r="H23" i="2"/>
  <c r="G23" i="2"/>
  <c r="F23" i="2"/>
  <c r="E23" i="2"/>
  <c r="D23" i="2"/>
  <c r="O22" i="2"/>
  <c r="N22" i="2"/>
  <c r="M22" i="2"/>
  <c r="L22" i="2"/>
  <c r="K22" i="2"/>
  <c r="J22" i="2"/>
  <c r="I22" i="2"/>
  <c r="H22" i="2"/>
  <c r="G22" i="2"/>
  <c r="F22" i="2"/>
  <c r="E22" i="2"/>
  <c r="D22" i="2"/>
  <c r="O21" i="2"/>
  <c r="N21" i="2"/>
  <c r="M21" i="2"/>
  <c r="L21" i="2"/>
  <c r="K21" i="2"/>
  <c r="J21" i="2"/>
  <c r="I21" i="2"/>
  <c r="H21" i="2"/>
  <c r="G21" i="2"/>
  <c r="F21" i="2"/>
  <c r="E21" i="2"/>
  <c r="D21" i="2"/>
  <c r="O20" i="2"/>
  <c r="N20" i="2"/>
  <c r="M20" i="2"/>
  <c r="L20" i="2"/>
  <c r="K20" i="2"/>
  <c r="J20" i="2"/>
  <c r="I20" i="2"/>
  <c r="H20" i="2"/>
  <c r="G20" i="2"/>
  <c r="F20" i="2"/>
  <c r="E20" i="2"/>
  <c r="D20" i="2"/>
  <c r="O19" i="2"/>
  <c r="N19" i="2"/>
  <c r="M19" i="2"/>
  <c r="L19" i="2"/>
  <c r="K19" i="2"/>
  <c r="J19" i="2"/>
  <c r="I19" i="2"/>
  <c r="H19" i="2"/>
  <c r="G19" i="2"/>
  <c r="F19" i="2"/>
  <c r="E19" i="2"/>
  <c r="D19" i="2"/>
  <c r="O18" i="2"/>
  <c r="N18" i="2"/>
  <c r="M18" i="2"/>
  <c r="L18" i="2"/>
  <c r="K18" i="2"/>
  <c r="J18" i="2"/>
  <c r="I18" i="2"/>
  <c r="H18" i="2"/>
  <c r="G18" i="2"/>
  <c r="F18" i="2"/>
  <c r="E18" i="2"/>
  <c r="D18" i="2"/>
  <c r="O17" i="2"/>
  <c r="N17" i="2"/>
  <c r="M17" i="2"/>
  <c r="L17" i="2"/>
  <c r="K17" i="2"/>
  <c r="J17" i="2"/>
  <c r="I17" i="2"/>
  <c r="H17" i="2"/>
  <c r="G17" i="2"/>
  <c r="F17" i="2"/>
  <c r="E17" i="2"/>
  <c r="D17" i="2"/>
  <c r="O16" i="2"/>
  <c r="N16" i="2"/>
  <c r="M16" i="2"/>
  <c r="L16" i="2"/>
  <c r="K16" i="2"/>
  <c r="J16" i="2"/>
  <c r="I16" i="2"/>
  <c r="H16" i="2"/>
  <c r="G16" i="2"/>
  <c r="F16" i="2"/>
  <c r="E16" i="2"/>
  <c r="D16" i="2"/>
  <c r="O15" i="2"/>
  <c r="N15" i="2"/>
  <c r="M15" i="2"/>
  <c r="L15" i="2"/>
  <c r="K15" i="2"/>
  <c r="J15" i="2"/>
  <c r="I15" i="2"/>
  <c r="H15" i="2"/>
  <c r="G15" i="2"/>
  <c r="F15" i="2"/>
  <c r="E15" i="2"/>
  <c r="D15" i="2"/>
  <c r="O14" i="2"/>
  <c r="N14" i="2"/>
  <c r="M14" i="2"/>
  <c r="L14" i="2"/>
  <c r="K14" i="2"/>
  <c r="J14" i="2"/>
  <c r="I14" i="2"/>
  <c r="H14" i="2"/>
  <c r="G14" i="2"/>
  <c r="F14" i="2"/>
  <c r="E14" i="2"/>
  <c r="D14" i="2"/>
  <c r="O13" i="2"/>
  <c r="N13" i="2"/>
  <c r="M13" i="2"/>
  <c r="L13" i="2"/>
  <c r="K13" i="2"/>
  <c r="J13" i="2"/>
  <c r="I13" i="2"/>
  <c r="H13" i="2"/>
  <c r="G13" i="2"/>
  <c r="F13" i="2"/>
  <c r="E13" i="2"/>
  <c r="D13" i="2"/>
  <c r="O12" i="2"/>
  <c r="N12" i="2"/>
  <c r="M12" i="2"/>
  <c r="L12" i="2"/>
  <c r="K12" i="2"/>
  <c r="J12" i="2"/>
  <c r="I12" i="2"/>
  <c r="H12" i="2"/>
  <c r="G12" i="2"/>
  <c r="F12" i="2"/>
  <c r="E12" i="2"/>
  <c r="D12" i="2"/>
  <c r="O10" i="2"/>
  <c r="N10" i="2"/>
  <c r="M10" i="2"/>
  <c r="L10" i="2"/>
  <c r="K10" i="2"/>
  <c r="J10" i="2"/>
  <c r="I10" i="2"/>
  <c r="H10" i="2"/>
  <c r="G10" i="2"/>
  <c r="F10" i="2"/>
  <c r="E10" i="2"/>
  <c r="D10" i="2"/>
  <c r="O9" i="2"/>
  <c r="N9" i="2"/>
  <c r="M9" i="2"/>
  <c r="L9" i="2"/>
  <c r="K9" i="2"/>
  <c r="J9" i="2"/>
  <c r="I9" i="2"/>
  <c r="H9" i="2"/>
  <c r="G9" i="2"/>
  <c r="F9" i="2"/>
  <c r="E9" i="2"/>
  <c r="D9" i="2"/>
  <c r="O8" i="2"/>
  <c r="N8" i="2"/>
  <c r="M8" i="2"/>
  <c r="L8" i="2"/>
  <c r="K8" i="2"/>
  <c r="J8" i="2"/>
  <c r="I8" i="2"/>
  <c r="H8" i="2"/>
  <c r="G8" i="2"/>
  <c r="F8" i="2"/>
  <c r="E8" i="2"/>
  <c r="D8" i="2"/>
  <c r="O7" i="2"/>
  <c r="N7" i="2"/>
  <c r="M7" i="2"/>
  <c r="L7" i="2"/>
  <c r="K7" i="2"/>
  <c r="J7" i="2"/>
  <c r="I7" i="2"/>
  <c r="H7" i="2"/>
  <c r="G7" i="2"/>
  <c r="F7" i="2"/>
  <c r="E7" i="2"/>
  <c r="D7" i="2"/>
  <c r="O6" i="2"/>
  <c r="N6" i="2"/>
  <c r="M6" i="2"/>
  <c r="L6" i="2"/>
  <c r="K6" i="2"/>
  <c r="J6" i="2"/>
  <c r="I6" i="2"/>
  <c r="H6" i="2"/>
  <c r="G6" i="2"/>
  <c r="F6" i="2"/>
  <c r="E6" i="2"/>
  <c r="D6" i="2"/>
  <c r="I22" i="5" l="1"/>
  <c r="I20" i="5"/>
  <c r="I18" i="5"/>
  <c r="I16" i="5"/>
  <c r="I14" i="5"/>
  <c r="I12" i="5"/>
  <c r="I10" i="5"/>
  <c r="I13" i="5"/>
  <c r="I21" i="5"/>
  <c r="I19" i="5"/>
  <c r="I17" i="5"/>
  <c r="I15" i="5"/>
  <c r="I11" i="5"/>
</calcChain>
</file>

<file path=xl/sharedStrings.xml><?xml version="1.0" encoding="utf-8"?>
<sst xmlns="http://schemas.openxmlformats.org/spreadsheetml/2006/main" count="205" uniqueCount="130">
  <si>
    <t>PLATOVÁ TRIEDA</t>
  </si>
  <si>
    <t>PRACOVNÁ TRIEDA</t>
  </si>
  <si>
    <t>PLATOVÁ TARIFA V €</t>
  </si>
  <si>
    <t>prax v rokoch</t>
  </si>
  <si>
    <t>%</t>
  </si>
  <si>
    <t>hárok č. 2</t>
  </si>
  <si>
    <t>hárok č. 3</t>
  </si>
  <si>
    <t>príplatky</t>
  </si>
  <si>
    <t xml:space="preserve">hárok č. 4 </t>
  </si>
  <si>
    <t>PRÍPLATOK ZAČÍNAJÚCEHO ZAMESTNANCA podľa § 14c zákona č. 553/2003 Z. z.</t>
  </si>
  <si>
    <t>% príplatku</t>
  </si>
  <si>
    <t>pracovná trieda</t>
  </si>
  <si>
    <t>platová tarifa</t>
  </si>
  <si>
    <t>zvýšenie platovej tarify o 24%</t>
  </si>
  <si>
    <t>neuplatňuje sa zvýšenie platovej tarify</t>
  </si>
  <si>
    <t>výška príplatku v €</t>
  </si>
  <si>
    <t>po zaokrúhlení €</t>
  </si>
  <si>
    <t>2.</t>
  </si>
  <si>
    <t>PRÍPLATOK UVÁDZAJÚCEHO ZAMESTNANCA  JEDNÉHO podľa  § 13b ods. 2) zákona č. 553/2003 Z. z.</t>
  </si>
  <si>
    <t>platová trieda</t>
  </si>
  <si>
    <t>spolu</t>
  </si>
  <si>
    <t xml:space="preserve">3. </t>
  </si>
  <si>
    <t>PRÍPLATOK UVÁDZAJÚCEHO ZAMESTNANCA  DVOCH  podľa § 13b  ods. 2) zákona č. 553/2003 Z. z.</t>
  </si>
  <si>
    <t xml:space="preserve">4. </t>
  </si>
  <si>
    <t>PRÍPLATOK TRIEDNEHO UČITEĽA  V 1 TRIEDE § 13b ods. 1) zákona č. 553/2003 Z. z.</t>
  </si>
  <si>
    <t>5.</t>
  </si>
  <si>
    <t xml:space="preserve"> PRÍPLATOK TRIEDNEHO UČITEĽA  V 2 TRIEDACH  § 13b ods. 1) zákona č. 553/2003 Z. z.</t>
  </si>
  <si>
    <t xml:space="preserve">6. </t>
  </si>
  <si>
    <t>KREDITOVÝ PRÍPLATOK  ZA 30 KREDITOV § 14 zákona č. 553/2003 Z. z.</t>
  </si>
  <si>
    <t>7.</t>
  </si>
  <si>
    <t>KREDITOVÝ PRÍPLATOK  ZA 60 KREDITOV § 14 zákona č. 553/2003 Z. z.</t>
  </si>
  <si>
    <t>6% + 6%</t>
  </si>
  <si>
    <t xml:space="preserve">8. </t>
  </si>
  <si>
    <t>PRÍPLATOK ZA PRÁCU SO ŽIAKMI SO ZDRAVOTNÝM ZNEVÝHODNENÍM ALEBO SO ŽIAKMI ZO SOCIÁLNE  ZNEVÝHODNENÉHO</t>
  </si>
  <si>
    <t>PROSTREDIA § 14d zákona č. 553/2003 Z.z.</t>
  </si>
  <si>
    <t>PRÍPLATKY</t>
  </si>
  <si>
    <t>Príloha č. 6 k zákonu č. 553/2003 Z. z.</t>
  </si>
  <si>
    <t>PERCENTUÁLNY PODIEL PRÍPLATKU ZA RIADENIE</t>
  </si>
  <si>
    <t>Stupeň riadenia</t>
  </si>
  <si>
    <t>Pôsobnosť zamestnávateľa</t>
  </si>
  <si>
    <t>celoštátna</t>
  </si>
  <si>
    <t>krajská (regionálna)</t>
  </si>
  <si>
    <t>okresná</t>
  </si>
  <si>
    <t>miestna</t>
  </si>
  <si>
    <t>Magistrát hlavného mesta Bratislavy, Magistrát mesta Košíc</t>
  </si>
  <si>
    <t>obce nad 50 000 obyvateľov</t>
  </si>
  <si>
    <t>obce od 10 000 do 50 000 obyvateľov</t>
  </si>
  <si>
    <t>obce do 10 000 obyvateľov</t>
  </si>
  <si>
    <t>I.</t>
  </si>
  <si>
    <t>II.</t>
  </si>
  <si>
    <t>a</t>
  </si>
  <si>
    <t>b</t>
  </si>
  <si>
    <t>III.</t>
  </si>
  <si>
    <t>IV.</t>
  </si>
  <si>
    <t>Stupeň riadenia:</t>
  </si>
  <si>
    <t>I. - vedúci zamestnanec, ktorý je štatutárnym orgánom,</t>
  </si>
  <si>
    <t>II. a - vedúci zamestnanec, ktorý zodpovedá za zverený úsek činnosti zamestnávateľa a zastupuje štatutárny orgán v čase jeho neprítomnosti v celom rozsahu jeho práv a povinností a ktorý riadi viac útvarov; riadenie viacerých útvarov sa nevyžaduje u vedúceho zamestnanca v organizácii s inou organizačnou štruktúrou, t. j. vedúci zamestnanec na II. a stupni riadenia riadi aspoň jedného vedúceho zamestnanca na IV. stupni riadenia alebo priamo riadi podriadených zamestnancov,</t>
  </si>
  <si>
    <t>II. b - vedúci zamestnanec, ktorý zastupuje štatutárny orgán v rámci zvereného úseku činnosti zamestnávateľa, prednosta mestského úradu, prednosta obecného úradu, a ktorý riadi viac útvarov; riadenie viacerých útvarov sa nevyžaduje u vedúceho zamestnanca v organizácii s inou organizačnou štruktúrou, t. j. vedúci zamestnanec na II. b stupni riadenia riadi aspoň jedného vedúceho zamestnanca na IV. stupni riadenia alebo priamo riadi podriadených zamestnancov,</t>
  </si>
  <si>
    <t>III. - vedúci zamestnanec, ktorý riadi viac útvarov,</t>
  </si>
  <si>
    <t>IV. - vedúci zamestnanec, ktorý priamo riadi prácu podriadených zamestnancov.</t>
  </si>
  <si>
    <t>hodnoty po zaokrúhlení na 50 Eurocentov</t>
  </si>
  <si>
    <t>hárok č. 5</t>
  </si>
  <si>
    <t>príloha č. 6 k zákonu č. 553/2003 Z.z. o odmeňovaní niektorých zamestnancov pri výkone práce vo verejnom záujme a o zmene a doplnení niektorých zákonov</t>
  </si>
  <si>
    <t>hárok č. 1</t>
  </si>
  <si>
    <t xml:space="preserve">obsah </t>
  </si>
  <si>
    <t>Spracovala :</t>
  </si>
  <si>
    <t xml:space="preserve">Ing. Alena Šebjanová </t>
  </si>
  <si>
    <t>Okresný úrad Banská Bystrica</t>
  </si>
  <si>
    <t>Odbor školstva</t>
  </si>
  <si>
    <t xml:space="preserve">Spracovala: </t>
  </si>
  <si>
    <t>Vypracovala:</t>
  </si>
  <si>
    <t>Ing. Alena Šebjanová</t>
  </si>
  <si>
    <t>Oresný úrad Banská Bystrica</t>
  </si>
  <si>
    <t>od 12 DO 40</t>
  </si>
  <si>
    <t>OD 12 DO 38</t>
  </si>
  <si>
    <t>od 10 do 32</t>
  </si>
  <si>
    <t>od 10 do 30</t>
  </si>
  <si>
    <t>od 8 do 26</t>
  </si>
  <si>
    <t>od 8 do 24</t>
  </si>
  <si>
    <t>od 6 do 22</t>
  </si>
  <si>
    <t>od 6 do 20</t>
  </si>
  <si>
    <t>od 3 do 20</t>
  </si>
  <si>
    <t>IV</t>
  </si>
  <si>
    <t>III</t>
  </si>
  <si>
    <t>IV, III</t>
  </si>
  <si>
    <t>Iib</t>
  </si>
  <si>
    <t>IIb</t>
  </si>
  <si>
    <t>IIa</t>
  </si>
  <si>
    <t>I</t>
  </si>
  <si>
    <t>OD 3%</t>
  </si>
  <si>
    <t>OD 8%</t>
  </si>
  <si>
    <t>OD 10%</t>
  </si>
  <si>
    <t>OD 6%</t>
  </si>
  <si>
    <t>DO 20%</t>
  </si>
  <si>
    <t>DO 22%</t>
  </si>
  <si>
    <t>DO 24%</t>
  </si>
  <si>
    <t>DO 30%</t>
  </si>
  <si>
    <t>DO 26%</t>
  </si>
  <si>
    <t>DO 32%</t>
  </si>
  <si>
    <t>DO 38%</t>
  </si>
  <si>
    <t>DO 40%</t>
  </si>
  <si>
    <t>OD 12%</t>
  </si>
  <si>
    <t xml:space="preserve">všetky </t>
  </si>
  <si>
    <t>okresná, miestna</t>
  </si>
  <si>
    <t xml:space="preserve">všetky, miestna  </t>
  </si>
  <si>
    <t xml:space="preserve">okresná </t>
  </si>
  <si>
    <t>zvýšenie platových taríf pedagogických zamestnancov a odborných zamestnancov od 1. 1. 2019</t>
  </si>
  <si>
    <t xml:space="preserve">sumy príplatkov za riadenie v percentuálnom vyjadrení podľa prílohy č. 6 zákona č. 553/2003 Z. z. </t>
  </si>
  <si>
    <t>výška príplatku po zaokrúhlení v €</t>
  </si>
  <si>
    <t>výška príplatkupo zaokrúhlení v €</t>
  </si>
  <si>
    <t>STUPEŇ  RIADENIA</t>
  </si>
  <si>
    <t>pôsobnosť RIADENIA</t>
  </si>
  <si>
    <t>Legislatíva pre systém odmeňovania v školách a školských zariadeniach:</t>
  </si>
  <si>
    <t>OBSAH:</t>
  </si>
  <si>
    <t xml:space="preserve">Nariadenie vlády Slovenskej republiky č. 388/2018 Z. z., ktorým sa ustanovujú zvýšené stupnice platových taríf zamestnancov pri výkone práce vo verejnom záujme ( ďalej len nariadenie vlády Slovenskej republiky č. 388/2018 Z. z. ) s účinnosťou od 1. 1. 2019, </t>
  </si>
  <si>
    <t>PRÍLOHA č. 11 INFORMÁCIE 2019-1</t>
  </si>
  <si>
    <t>Zákon č. 318/2018 Z. z., ktorým sa mení a dopĺňa zákon č. 553/2003 Z.z. o odmeňovaní niektorých zamestnancov pri výkone práce vo verejnom záujme a o zmene a doplnení niektorých zákonov v znení neskorších predpisov a ktorým sa menia a dopĺňajú niektoré zákony ( ďalej len zákon č. 318/2018 Z. z. ) s účinnosťou od 1. 1. 2019,</t>
  </si>
  <si>
    <t xml:space="preserve">Nariadenie vlády Slovenskej republiky č. 354/2018 Z. z., ktorým sa mení nariadenie vlády Slovenskej republiky č. 341/2004 Z. z., ktorým sa ustanovujú katalógy pracovných činností pri výkone práce vo verejnom záujme a o ich zmenách a dopĺňaní v znení neskorších predpisov s účinnosťou od 1. 1. 2019 ( ďalej len nariadenie vlády Slovenskej republiky č. 354/2018 Z. z. ), </t>
  </si>
  <si>
    <t>najviac 2,5% z  platovej tarify 9. platovej triedy a pracovnej triedy 1 mesačne</t>
  </si>
  <si>
    <t xml:space="preserve">Podľa zákona č. 318/2008 Z.z., ktorým sa mení a dopĺňa zákon č. 553/2003 Z. z. o odmeňovaní niektorých zamestnancov pri výkone práce vo verejnom záujme a o zmene a doplnení niektorých zákonov v znení neskorších predpisov a ktorým sa menia a doplňajú niektoré zákony a nariadenie vlády  Slovenskej republiky č. 388/2018 Z. z. , ktorým sa ustanovujú zvýšené stupnice platových taríf zamestnancov pri výkone práce vo verejnom záujme </t>
  </si>
  <si>
    <t>od 12 do 50</t>
  </si>
  <si>
    <t>od 12 do 42</t>
  </si>
  <si>
    <t>od 10 do 40</t>
  </si>
  <si>
    <t>od 10 do 34</t>
  </si>
  <si>
    <t>od 8 do 32</t>
  </si>
  <si>
    <t>od 8 do 28</t>
  </si>
  <si>
    <t>od 6 do 26</t>
  </si>
  <si>
    <t>od  6 do 24</t>
  </si>
  <si>
    <t xml:space="preserve">Najnižšie a najnižšie hodnoty príplatkov za riadenie podľa § 8 zákona č. 553/2003 Z.z.  pre pedagogických zamestnacov a odborných zamestnancov a platových taríf </t>
  </si>
  <si>
    <r>
      <t>Zvýšenie platových taríf podľa zákona č. 318/2018 Z. z., ktorým sa mení a dopĺňa  zákon č. 553/2003 Z. z.  o odmeňovaní niektorých zamestnancov pri výkone práce vo verejnom záujme a o zmene  a doplnení niektorých zákonov v znení neskorších zákonov  a ktorým sa menia a dopĺňajú niektoré zákony a nariadenie vlády Slovenskej republiky č</t>
    </r>
    <r>
      <rPr>
        <b/>
        <sz val="16"/>
        <color rgb="FFFF0000"/>
        <rFont val="Arial Narrow"/>
        <family val="2"/>
        <charset val="238"/>
      </rPr>
      <t>.</t>
    </r>
    <r>
      <rPr>
        <b/>
        <sz val="16"/>
        <rFont val="Arial Narrow"/>
        <family val="2"/>
        <charset val="238"/>
      </rPr>
      <t xml:space="preserve">388/2018 </t>
    </r>
    <r>
      <rPr>
        <b/>
        <sz val="16"/>
        <color theme="1"/>
        <rFont val="Arial Narrow"/>
        <family val="2"/>
        <charset val="238"/>
      </rPr>
      <t>Z. z., ktorým sa ustanovujú zvýšené stupnice platových taríf zamestnancov pri výkone práce vo verejnom záujme s účinnosťou od 1. 1.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</si>
</sst>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1"/>
      <color theme="1"/>
      <name val="Calibri"/>
      <family val="2"/>
      <charset val="238"/>
      <scheme val="minor"/>
    </font>
    <font>
      <b/>
      <sz val="14"/>
      <name val="Arial Narrow"/>
      <family val="2"/>
      <charset val="238"/>
    </font>
    <font>
      <b/>
      <sz val="22"/>
      <color theme="1"/>
      <name val="Arial Narrow"/>
      <family val="2"/>
      <charset val="238"/>
    </font>
    <font>
      <b/>
      <sz val="14"/>
      <color theme="1" tint="0.14999847407452621"/>
      <name val="Arial Narrow"/>
      <family val="2"/>
      <charset val="238"/>
    </font>
    <font>
      <b/>
      <sz val="22"/>
      <color rgb="FF002060"/>
      <name val="Arial Narrow"/>
      <family val="2"/>
      <charset val="238"/>
    </font>
    <font>
      <b/>
      <sz val="18"/>
      <color theme="1" tint="0.14999847407452621"/>
      <name val="Arial Narrow"/>
      <family val="2"/>
      <charset val="238"/>
    </font>
    <font>
      <sz val="22"/>
      <color theme="1"/>
      <name val="Arial Narrow"/>
      <family val="2"/>
      <charset val="238"/>
    </font>
    <font>
      <sz val="22"/>
      <color rgb="FF002060"/>
      <name val="Arial Narrow"/>
      <family val="2"/>
      <charset val="238"/>
    </font>
    <font>
      <b/>
      <sz val="22"/>
      <color theme="1" tint="0.14999847407452621"/>
      <name val="Arial Narrow"/>
      <family val="2"/>
      <charset val="238"/>
    </font>
    <font>
      <b/>
      <sz val="22"/>
      <color theme="1"/>
      <name val="Arial Black"/>
      <family val="2"/>
      <charset val="238"/>
    </font>
    <font>
      <b/>
      <sz val="22"/>
      <color rgb="FF002060"/>
      <name val="Arial Black"/>
      <family val="2"/>
      <charset val="238"/>
    </font>
    <font>
      <b/>
      <sz val="18"/>
      <name val="Arial Black"/>
      <family val="2"/>
      <charset val="238"/>
    </font>
    <font>
      <b/>
      <sz val="14"/>
      <color theme="9" tint="-0.499984740745262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20"/>
      <color theme="4" tint="-0.499984740745262"/>
      <name val="Arial Black"/>
      <family val="2"/>
      <charset val="238"/>
    </font>
    <font>
      <b/>
      <sz val="14"/>
      <name val="Arial"/>
      <family val="2"/>
      <charset val="238"/>
    </font>
    <font>
      <sz val="18"/>
      <name val="Arial Black"/>
      <family val="2"/>
      <charset val="238"/>
    </font>
    <font>
      <sz val="14"/>
      <name val="Britannic Bold"/>
      <family val="2"/>
    </font>
    <font>
      <sz val="14"/>
      <color theme="1"/>
      <name val="Arial Black"/>
      <family val="2"/>
      <charset val="238"/>
    </font>
    <font>
      <sz val="18"/>
      <color theme="1"/>
      <name val="Arial Black"/>
      <family val="2"/>
      <charset val="238"/>
    </font>
    <font>
      <b/>
      <sz val="14"/>
      <name val="Bodoni MT Black"/>
      <family val="1"/>
    </font>
    <font>
      <sz val="20"/>
      <color theme="4" tint="-0.499984740745262"/>
      <name val="Bodoni MT Black"/>
      <family val="1"/>
    </font>
    <font>
      <b/>
      <sz val="18"/>
      <color theme="1"/>
      <name val="Arial Black"/>
      <family val="2"/>
      <charset val="238"/>
    </font>
    <font>
      <sz val="14"/>
      <name val="Calibri"/>
      <family val="2"/>
      <charset val="238"/>
      <scheme val="minor"/>
    </font>
    <font>
      <b/>
      <sz val="20"/>
      <color theme="4" tint="-0.499984740745262"/>
      <name val="Bodoni MT Black"/>
      <family val="1"/>
    </font>
    <font>
      <b/>
      <sz val="14"/>
      <color theme="2" tint="-0.89999084444715716"/>
      <name val="Arial"/>
      <family val="2"/>
      <charset val="238"/>
    </font>
    <font>
      <b/>
      <sz val="18"/>
      <color theme="2" tint="-0.89999084444715716"/>
      <name val="Arial Black"/>
      <family val="2"/>
      <charset val="238"/>
    </font>
    <font>
      <b/>
      <sz val="14"/>
      <name val="Arial Black"/>
      <family val="2"/>
      <charset val="238"/>
    </font>
    <font>
      <sz val="14"/>
      <name val="Arial Black"/>
      <family val="2"/>
      <charset val="238"/>
    </font>
    <font>
      <sz val="26"/>
      <color theme="1"/>
      <name val="Bodoni MT Black"/>
      <family val="1"/>
    </font>
    <font>
      <sz val="18"/>
      <name val="Arial"/>
      <family val="2"/>
      <charset val="238"/>
    </font>
    <font>
      <sz val="18"/>
      <color theme="1" tint="0.14999847407452621"/>
      <name val="Arial Black"/>
      <family val="2"/>
      <charset val="238"/>
    </font>
    <font>
      <b/>
      <sz val="18"/>
      <color theme="1" tint="0.14999847407452621"/>
      <name val="Arial Black"/>
      <family val="2"/>
      <charset val="238"/>
    </font>
    <font>
      <sz val="16"/>
      <color theme="1"/>
      <name val="Calibri"/>
      <family val="2"/>
      <charset val="238"/>
      <scheme val="minor"/>
    </font>
    <font>
      <sz val="11"/>
      <color theme="1"/>
      <name val="Copperplate Gothic Light"/>
      <family val="2"/>
    </font>
    <font>
      <sz val="12"/>
      <color theme="1"/>
      <name val="Copperplate Gothic Light"/>
      <family val="2"/>
    </font>
    <font>
      <sz val="16"/>
      <color theme="1"/>
      <name val="Copperplate Gothic Light"/>
      <family val="2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Copperplate Gothic Light"/>
      <family val="2"/>
    </font>
    <font>
      <sz val="16"/>
      <color theme="1"/>
      <name val="Copperplate Gothic Bold"/>
      <family val="2"/>
    </font>
    <font>
      <sz val="9"/>
      <color theme="1"/>
      <name val="Copperplate Gothic Bold"/>
      <family val="2"/>
    </font>
    <font>
      <sz val="12"/>
      <color theme="1"/>
      <name val="Copperplate Gothic Bold"/>
      <family val="2"/>
    </font>
    <font>
      <sz val="14"/>
      <name val="Arial Narrow"/>
      <family val="2"/>
      <charset val="238"/>
    </font>
    <font>
      <sz val="10"/>
      <color theme="1"/>
      <name val="Copperplate Gothic Bold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opperplate Gothic Light"/>
      <family val="2"/>
    </font>
    <font>
      <b/>
      <sz val="11"/>
      <color theme="1"/>
      <name val="Copperplate Gothic Light"/>
      <family val="2"/>
    </font>
    <font>
      <b/>
      <sz val="16"/>
      <color theme="1"/>
      <name val="Arial Narrow"/>
      <family val="2"/>
      <charset val="238"/>
    </font>
    <font>
      <b/>
      <sz val="16"/>
      <color rgb="FFFF0000"/>
      <name val="Arial Narrow"/>
      <family val="2"/>
      <charset val="238"/>
    </font>
    <font>
      <b/>
      <sz val="16"/>
      <name val="Arial Narrow"/>
      <family val="2"/>
      <charset val="238"/>
    </font>
    <font>
      <b/>
      <sz val="16"/>
      <color theme="1"/>
      <name val="Arial Black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6"/>
      <name val="Arial Black"/>
      <family val="2"/>
      <charset val="238"/>
    </font>
    <font>
      <b/>
      <sz val="20"/>
      <name val="Arial Black"/>
      <family val="2"/>
      <charset val="238"/>
    </font>
    <font>
      <b/>
      <sz val="20"/>
      <color theme="2" tint="-0.89999084444715716"/>
      <name val="Arial"/>
      <family val="2"/>
      <charset val="238"/>
    </font>
    <font>
      <b/>
      <sz val="20"/>
      <name val="Bodoni MT Black"/>
      <family val="1"/>
    </font>
    <font>
      <sz val="14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EC"/>
        <bgColor indexed="64"/>
      </patternFill>
    </fill>
    <fill>
      <patternFill patternType="solid">
        <fgColor rgb="FFBDFBD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3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4" fillId="0" borderId="0" xfId="0" applyFont="1" applyFill="1"/>
    <xf numFmtId="0" fontId="15" fillId="3" borderId="12" xfId="0" applyFont="1" applyFill="1" applyBorder="1"/>
    <xf numFmtId="0" fontId="14" fillId="3" borderId="1" xfId="0" applyFont="1" applyFill="1" applyBorder="1"/>
    <xf numFmtId="0" fontId="14" fillId="3" borderId="14" xfId="0" applyFont="1" applyFill="1" applyBorder="1"/>
    <xf numFmtId="2" fontId="18" fillId="3" borderId="1" xfId="0" applyNumberFormat="1" applyFont="1" applyFill="1" applyBorder="1" applyAlignment="1">
      <alignment horizontal="center"/>
    </xf>
    <xf numFmtId="0" fontId="15" fillId="2" borderId="12" xfId="0" applyFont="1" applyFill="1" applyBorder="1"/>
    <xf numFmtId="0" fontId="14" fillId="3" borderId="5" xfId="0" applyFont="1" applyFill="1" applyBorder="1"/>
    <xf numFmtId="2" fontId="17" fillId="3" borderId="1" xfId="0" applyNumberFormat="1" applyFont="1" applyFill="1" applyBorder="1"/>
    <xf numFmtId="2" fontId="17" fillId="3" borderId="14" xfId="0" applyNumberFormat="1" applyFont="1" applyFill="1" applyBorder="1"/>
    <xf numFmtId="0" fontId="15" fillId="0" borderId="0" xfId="0" applyFont="1" applyFill="1"/>
    <xf numFmtId="2" fontId="15" fillId="3" borderId="5" xfId="0" applyNumberFormat="1" applyFont="1" applyFill="1" applyBorder="1"/>
    <xf numFmtId="2" fontId="15" fillId="3" borderId="13" xfId="0" applyNumberFormat="1" applyFont="1" applyFill="1" applyBorder="1"/>
    <xf numFmtId="0" fontId="14" fillId="3" borderId="0" xfId="0" applyFont="1" applyFill="1"/>
    <xf numFmtId="0" fontId="15" fillId="3" borderId="0" xfId="0" applyFont="1" applyFill="1"/>
    <xf numFmtId="0" fontId="15" fillId="3" borderId="5" xfId="0" applyFont="1" applyFill="1" applyBorder="1"/>
    <xf numFmtId="0" fontId="15" fillId="3" borderId="1" xfId="0" applyFont="1" applyFill="1" applyBorder="1"/>
    <xf numFmtId="0" fontId="15" fillId="3" borderId="14" xfId="0" applyFont="1" applyFill="1" applyBorder="1"/>
    <xf numFmtId="2" fontId="15" fillId="3" borderId="1" xfId="0" applyNumberFormat="1" applyFont="1" applyFill="1" applyBorder="1"/>
    <xf numFmtId="2" fontId="15" fillId="3" borderId="14" xfId="0" applyNumberFormat="1" applyFont="1" applyFill="1" applyBorder="1"/>
    <xf numFmtId="0" fontId="17" fillId="3" borderId="6" xfId="0" applyFont="1" applyFill="1" applyBorder="1"/>
    <xf numFmtId="0" fontId="17" fillId="3" borderId="5" xfId="0" applyFont="1" applyFill="1" applyBorder="1"/>
    <xf numFmtId="0" fontId="17" fillId="3" borderId="13" xfId="0" applyFont="1" applyFill="1" applyBorder="1"/>
    <xf numFmtId="0" fontId="15" fillId="3" borderId="15" xfId="0" applyFont="1" applyFill="1" applyBorder="1"/>
    <xf numFmtId="0" fontId="15" fillId="3" borderId="4" xfId="0" applyFont="1" applyFill="1" applyBorder="1"/>
    <xf numFmtId="0" fontId="15" fillId="2" borderId="4" xfId="0" applyFont="1" applyFill="1" applyBorder="1"/>
    <xf numFmtId="2" fontId="18" fillId="8" borderId="19" xfId="0" applyNumberFormat="1" applyFont="1" applyFill="1" applyBorder="1"/>
    <xf numFmtId="2" fontId="18" fillId="8" borderId="20" xfId="0" applyNumberFormat="1" applyFont="1" applyFill="1" applyBorder="1"/>
    <xf numFmtId="9" fontId="15" fillId="3" borderId="12" xfId="0" applyNumberFormat="1" applyFont="1" applyFill="1" applyBorder="1"/>
    <xf numFmtId="0" fontId="15" fillId="9" borderId="17" xfId="0" applyFont="1" applyFill="1" applyBorder="1"/>
    <xf numFmtId="2" fontId="18" fillId="9" borderId="19" xfId="0" applyNumberFormat="1" applyFont="1" applyFill="1" applyBorder="1"/>
    <xf numFmtId="2" fontId="18" fillId="9" borderId="20" xfId="0" applyNumberFormat="1" applyFont="1" applyFill="1" applyBorder="1"/>
    <xf numFmtId="0" fontId="15" fillId="7" borderId="22" xfId="0" applyFont="1" applyFill="1" applyBorder="1"/>
    <xf numFmtId="0" fontId="20" fillId="4" borderId="5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2" fontId="32" fillId="0" borderId="1" xfId="0" applyNumberFormat="1" applyFont="1" applyFill="1" applyBorder="1" applyAlignment="1">
      <alignment horizontal="right"/>
    </xf>
    <xf numFmtId="2" fontId="18" fillId="8" borderId="5" xfId="0" applyNumberFormat="1" applyFont="1" applyFill="1" applyBorder="1" applyAlignment="1">
      <alignment horizontal="right"/>
    </xf>
    <xf numFmtId="2" fontId="33" fillId="2" borderId="1" xfId="0" applyNumberFormat="1" applyFont="1" applyFill="1" applyBorder="1" applyAlignment="1">
      <alignment horizontal="right"/>
    </xf>
    <xf numFmtId="2" fontId="34" fillId="2" borderId="1" xfId="0" applyNumberFormat="1" applyFont="1" applyFill="1" applyBorder="1" applyAlignment="1">
      <alignment horizontal="right"/>
    </xf>
    <xf numFmtId="2" fontId="33" fillId="5" borderId="1" xfId="0" applyNumberFormat="1" applyFont="1" applyFill="1" applyBorder="1" applyAlignment="1">
      <alignment horizontal="right"/>
    </xf>
    <xf numFmtId="2" fontId="18" fillId="5" borderId="1" xfId="0" applyNumberFormat="1" applyFont="1" applyFill="1" applyBorder="1" applyAlignment="1">
      <alignment horizontal="right"/>
    </xf>
    <xf numFmtId="0" fontId="35" fillId="0" borderId="38" xfId="0" applyFont="1" applyBorder="1" applyAlignment="1">
      <alignment horizontal="center" vertical="center" wrapText="1"/>
    </xf>
    <xf numFmtId="0" fontId="35" fillId="0" borderId="38" xfId="0" applyFont="1" applyBorder="1" applyAlignment="1">
      <alignment vertical="center" wrapText="1"/>
    </xf>
    <xf numFmtId="0" fontId="35" fillId="0" borderId="33" xfId="0" applyFont="1" applyBorder="1" applyAlignment="1">
      <alignment horizontal="center" vertical="center" wrapText="1"/>
    </xf>
    <xf numFmtId="0" fontId="36" fillId="0" borderId="0" xfId="0" applyFont="1"/>
    <xf numFmtId="0" fontId="2" fillId="0" borderId="5" xfId="0" applyFont="1" applyBorder="1" applyAlignment="1">
      <alignment horizontal="center"/>
    </xf>
    <xf numFmtId="2" fontId="9" fillId="4" borderId="5" xfId="0" applyNumberFormat="1" applyFont="1" applyFill="1" applyBorder="1"/>
    <xf numFmtId="0" fontId="6" fillId="3" borderId="5" xfId="0" applyFont="1" applyFill="1" applyBorder="1"/>
    <xf numFmtId="2" fontId="9" fillId="0" borderId="5" xfId="0" applyNumberFormat="1" applyFont="1" applyBorder="1" applyAlignment="1">
      <alignment horizontal="center"/>
    </xf>
    <xf numFmtId="2" fontId="9" fillId="4" borderId="5" xfId="0" applyNumberFormat="1" applyFont="1" applyFill="1" applyBorder="1" applyAlignment="1">
      <alignment horizontal="center"/>
    </xf>
    <xf numFmtId="2" fontId="9" fillId="6" borderId="5" xfId="0" applyNumberFormat="1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2" fontId="9" fillId="4" borderId="12" xfId="0" applyNumberFormat="1" applyFont="1" applyFill="1" applyBorder="1"/>
    <xf numFmtId="2" fontId="10" fillId="4" borderId="14" xfId="0" applyNumberFormat="1" applyFont="1" applyFill="1" applyBorder="1"/>
    <xf numFmtId="0" fontId="6" fillId="3" borderId="12" xfId="0" applyFont="1" applyFill="1" applyBorder="1"/>
    <xf numFmtId="0" fontId="7" fillId="2" borderId="14" xfId="0" applyFont="1" applyFill="1" applyBorder="1"/>
    <xf numFmtId="2" fontId="9" fillId="0" borderId="12" xfId="0" applyNumberFormat="1" applyFont="1" applyBorder="1" applyAlignment="1">
      <alignment horizontal="center"/>
    </xf>
    <xf numFmtId="2" fontId="9" fillId="2" borderId="14" xfId="0" applyNumberFormat="1" applyFont="1" applyFill="1" applyBorder="1" applyAlignment="1">
      <alignment horizontal="center"/>
    </xf>
    <xf numFmtId="2" fontId="9" fillId="4" borderId="12" xfId="0" applyNumberFormat="1" applyFont="1" applyFill="1" applyBorder="1" applyAlignment="1">
      <alignment horizontal="center"/>
    </xf>
    <xf numFmtId="2" fontId="9" fillId="6" borderId="12" xfId="0" applyNumberFormat="1" applyFont="1" applyFill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2" borderId="20" xfId="0" applyNumberFormat="1" applyFont="1" applyFill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2" fontId="9" fillId="4" borderId="14" xfId="0" applyNumberFormat="1" applyFont="1" applyFill="1" applyBorder="1" applyAlignment="1">
      <alignment horizontal="center"/>
    </xf>
    <xf numFmtId="2" fontId="9" fillId="6" borderId="14" xfId="0" applyNumberFormat="1" applyFont="1" applyFill="1" applyBorder="1" applyAlignment="1">
      <alignment horizontal="center"/>
    </xf>
    <xf numFmtId="14" fontId="0" fillId="0" borderId="0" xfId="0" applyNumberFormat="1"/>
    <xf numFmtId="0" fontId="14" fillId="3" borderId="9" xfId="0" applyFont="1" applyFill="1" applyBorder="1"/>
    <xf numFmtId="2" fontId="18" fillId="3" borderId="9" xfId="0" applyNumberFormat="1" applyFont="1" applyFill="1" applyBorder="1" applyAlignment="1">
      <alignment horizontal="center"/>
    </xf>
    <xf numFmtId="0" fontId="35" fillId="0" borderId="50" xfId="0" applyFont="1" applyBorder="1"/>
    <xf numFmtId="0" fontId="35" fillId="0" borderId="51" xfId="0" applyFont="1" applyBorder="1"/>
    <xf numFmtId="0" fontId="35" fillId="0" borderId="52" xfId="0" applyFont="1" applyBorder="1"/>
    <xf numFmtId="0" fontId="0" fillId="0" borderId="51" xfId="0" applyBorder="1"/>
    <xf numFmtId="0" fontId="0" fillId="0" borderId="52" xfId="0" applyBorder="1"/>
    <xf numFmtId="17" fontId="38" fillId="0" borderId="38" xfId="0" applyNumberFormat="1" applyFont="1" applyBorder="1" applyAlignment="1">
      <alignment horizontal="center" vertical="center" wrapText="1"/>
    </xf>
    <xf numFmtId="17" fontId="38" fillId="0" borderId="33" xfId="0" applyNumberFormat="1" applyFont="1" applyBorder="1" applyAlignment="1">
      <alignment horizontal="center" vertical="center" wrapText="1"/>
    </xf>
    <xf numFmtId="17" fontId="38" fillId="0" borderId="41" xfId="0" applyNumberFormat="1" applyFont="1" applyBorder="1" applyAlignment="1">
      <alignment horizontal="center" vertical="center" wrapText="1"/>
    </xf>
    <xf numFmtId="17" fontId="38" fillId="0" borderId="31" xfId="0" applyNumberFormat="1" applyFont="1" applyBorder="1" applyAlignment="1">
      <alignment horizontal="center" vertical="center" wrapText="1"/>
    </xf>
    <xf numFmtId="0" fontId="39" fillId="4" borderId="53" xfId="0" applyFont="1" applyFill="1" applyBorder="1" applyAlignment="1">
      <alignment horizontal="center" vertical="center" wrapText="1"/>
    </xf>
    <xf numFmtId="0" fontId="39" fillId="4" borderId="54" xfId="0" applyFont="1" applyFill="1" applyBorder="1" applyAlignment="1">
      <alignment horizontal="center" vertical="center" wrapText="1"/>
    </xf>
    <xf numFmtId="17" fontId="40" fillId="4" borderId="54" xfId="0" applyNumberFormat="1" applyFont="1" applyFill="1" applyBorder="1" applyAlignment="1">
      <alignment horizontal="center" vertical="center" wrapText="1"/>
    </xf>
    <xf numFmtId="0" fontId="40" fillId="4" borderId="55" xfId="0" applyFont="1" applyFill="1" applyBorder="1" applyAlignment="1">
      <alignment horizontal="center"/>
    </xf>
    <xf numFmtId="17" fontId="40" fillId="4" borderId="57" xfId="0" applyNumberFormat="1" applyFont="1" applyFill="1" applyBorder="1" applyAlignment="1">
      <alignment horizontal="center" vertical="center" wrapText="1"/>
    </xf>
    <xf numFmtId="0" fontId="39" fillId="8" borderId="53" xfId="0" applyFont="1" applyFill="1" applyBorder="1" applyAlignment="1">
      <alignment horizontal="center" vertical="center" wrapText="1"/>
    </xf>
    <xf numFmtId="0" fontId="39" fillId="8" borderId="54" xfId="0" applyFont="1" applyFill="1" applyBorder="1" applyAlignment="1">
      <alignment horizontal="center" vertical="center" wrapText="1"/>
    </xf>
    <xf numFmtId="17" fontId="40" fillId="8" borderId="54" xfId="0" applyNumberFormat="1" applyFont="1" applyFill="1" applyBorder="1" applyAlignment="1">
      <alignment horizontal="center" vertical="center" wrapText="1"/>
    </xf>
    <xf numFmtId="0" fontId="40" fillId="8" borderId="55" xfId="0" applyFont="1" applyFill="1" applyBorder="1" applyAlignment="1">
      <alignment horizontal="center"/>
    </xf>
    <xf numFmtId="17" fontId="40" fillId="8" borderId="57" xfId="0" applyNumberFormat="1" applyFont="1" applyFill="1" applyBorder="1" applyAlignment="1">
      <alignment horizontal="center" vertical="center" wrapText="1"/>
    </xf>
    <xf numFmtId="9" fontId="33" fillId="2" borderId="1" xfId="0" applyNumberFormat="1" applyFont="1" applyFill="1" applyBorder="1" applyAlignment="1">
      <alignment horizontal="left"/>
    </xf>
    <xf numFmtId="9" fontId="33" fillId="5" borderId="1" xfId="0" applyNumberFormat="1" applyFont="1" applyFill="1" applyBorder="1" applyAlignment="1">
      <alignment horizontal="right"/>
    </xf>
    <xf numFmtId="0" fontId="41" fillId="0" borderId="1" xfId="0" applyFont="1" applyBorder="1" applyAlignment="1">
      <alignment horizontal="center"/>
    </xf>
    <xf numFmtId="0" fontId="15" fillId="3" borderId="0" xfId="0" applyFont="1" applyFill="1" applyBorder="1"/>
    <xf numFmtId="2" fontId="21" fillId="3" borderId="0" xfId="0" applyNumberFormat="1" applyFont="1" applyFill="1" applyBorder="1"/>
    <xf numFmtId="2" fontId="14" fillId="3" borderId="0" xfId="0" applyNumberFormat="1" applyFont="1" applyFill="1" applyBorder="1"/>
    <xf numFmtId="2" fontId="15" fillId="3" borderId="0" xfId="0" applyNumberFormat="1" applyFont="1" applyFill="1" applyBorder="1"/>
    <xf numFmtId="0" fontId="25" fillId="3" borderId="0" xfId="0" applyFont="1" applyFill="1" applyBorder="1"/>
    <xf numFmtId="2" fontId="11" fillId="3" borderId="0" xfId="0" applyNumberFormat="1" applyFont="1" applyFill="1" applyBorder="1"/>
    <xf numFmtId="2" fontId="24" fillId="3" borderId="0" xfId="0" applyNumberFormat="1" applyFont="1" applyFill="1" applyBorder="1"/>
    <xf numFmtId="2" fontId="18" fillId="3" borderId="0" xfId="0" applyNumberFormat="1" applyFont="1" applyFill="1" applyBorder="1"/>
    <xf numFmtId="2" fontId="18" fillId="8" borderId="7" xfId="0" applyNumberFormat="1" applyFont="1" applyFill="1" applyBorder="1"/>
    <xf numFmtId="0" fontId="14" fillId="3" borderId="0" xfId="0" applyFont="1" applyFill="1" applyBorder="1"/>
    <xf numFmtId="2" fontId="18" fillId="3" borderId="0" xfId="0" applyNumberFormat="1" applyFont="1" applyFill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22" fillId="3" borderId="0" xfId="0" applyFont="1" applyFill="1" applyBorder="1" applyAlignment="1">
      <alignment horizontal="left"/>
    </xf>
    <xf numFmtId="2" fontId="17" fillId="3" borderId="0" xfId="0" applyNumberFormat="1" applyFont="1" applyFill="1" applyBorder="1"/>
    <xf numFmtId="0" fontId="27" fillId="3" borderId="0" xfId="0" applyFont="1" applyFill="1" applyBorder="1" applyAlignment="1">
      <alignment horizontal="center"/>
    </xf>
    <xf numFmtId="0" fontId="17" fillId="3" borderId="0" xfId="0" applyFont="1" applyFill="1" applyBorder="1"/>
    <xf numFmtId="0" fontId="29" fillId="3" borderId="0" xfId="0" applyFont="1" applyFill="1" applyBorder="1" applyAlignment="1">
      <alignment horizontal="center"/>
    </xf>
    <xf numFmtId="9" fontId="15" fillId="3" borderId="0" xfId="0" applyNumberFormat="1" applyFont="1" applyFill="1" applyBorder="1"/>
    <xf numFmtId="0" fontId="0" fillId="3" borderId="0" xfId="0" applyFill="1" applyBorder="1"/>
    <xf numFmtId="14" fontId="12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2" fontId="19" fillId="3" borderId="0" xfId="0" applyNumberFormat="1" applyFont="1" applyFill="1" applyBorder="1" applyAlignment="1">
      <alignment horizontal="center"/>
    </xf>
    <xf numFmtId="14" fontId="0" fillId="3" borderId="0" xfId="0" applyNumberFormat="1" applyFill="1" applyBorder="1"/>
    <xf numFmtId="0" fontId="0" fillId="3" borderId="0" xfId="0" applyFill="1"/>
    <xf numFmtId="0" fontId="30" fillId="4" borderId="5" xfId="0" applyFont="1" applyFill="1" applyBorder="1" applyAlignment="1">
      <alignment horizontal="center"/>
    </xf>
    <xf numFmtId="0" fontId="30" fillId="8" borderId="5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60" xfId="0" applyFont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47" fillId="0" borderId="0" xfId="0" applyFont="1"/>
    <xf numFmtId="0" fontId="46" fillId="0" borderId="0" xfId="0" applyFont="1"/>
    <xf numFmtId="0" fontId="48" fillId="0" borderId="0" xfId="0" applyFont="1"/>
    <xf numFmtId="0" fontId="39" fillId="5" borderId="50" xfId="0" applyFont="1" applyFill="1" applyBorder="1" applyAlignment="1">
      <alignment vertical="center"/>
    </xf>
    <xf numFmtId="0" fontId="39" fillId="5" borderId="5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6" fillId="2" borderId="9" xfId="0" applyFont="1" applyFill="1" applyBorder="1" applyAlignment="1">
      <alignment horizontal="center"/>
    </xf>
    <xf numFmtId="2" fontId="18" fillId="3" borderId="5" xfId="0" applyNumberFormat="1" applyFont="1" applyFill="1" applyBorder="1" applyAlignment="1">
      <alignment horizontal="center"/>
    </xf>
    <xf numFmtId="2" fontId="17" fillId="3" borderId="5" xfId="0" applyNumberFormat="1" applyFont="1" applyFill="1" applyBorder="1"/>
    <xf numFmtId="0" fontId="15" fillId="3" borderId="2" xfId="0" applyFont="1" applyFill="1" applyBorder="1"/>
    <xf numFmtId="0" fontId="15" fillId="3" borderId="3" xfId="0" applyFont="1" applyFill="1" applyBorder="1"/>
    <xf numFmtId="0" fontId="15" fillId="3" borderId="65" xfId="0" applyFont="1" applyFill="1" applyBorder="1"/>
    <xf numFmtId="2" fontId="18" fillId="3" borderId="3" xfId="0" applyNumberFormat="1" applyFont="1" applyFill="1" applyBorder="1" applyAlignment="1">
      <alignment horizontal="center"/>
    </xf>
    <xf numFmtId="2" fontId="18" fillId="3" borderId="65" xfId="0" applyNumberFormat="1" applyFont="1" applyFill="1" applyBorder="1" applyAlignment="1">
      <alignment horizontal="center"/>
    </xf>
    <xf numFmtId="2" fontId="17" fillId="3" borderId="3" xfId="0" applyNumberFormat="1" applyFont="1" applyFill="1" applyBorder="1"/>
    <xf numFmtId="2" fontId="17" fillId="3" borderId="65" xfId="0" applyNumberFormat="1" applyFont="1" applyFill="1" applyBorder="1"/>
    <xf numFmtId="2" fontId="15" fillId="3" borderId="3" xfId="0" applyNumberFormat="1" applyFont="1" applyFill="1" applyBorder="1"/>
    <xf numFmtId="2" fontId="15" fillId="3" borderId="65" xfId="0" applyNumberFormat="1" applyFont="1" applyFill="1" applyBorder="1"/>
    <xf numFmtId="2" fontId="18" fillId="3" borderId="14" xfId="0" applyNumberFormat="1" applyFont="1" applyFill="1" applyBorder="1" applyAlignment="1">
      <alignment horizontal="center"/>
    </xf>
    <xf numFmtId="2" fontId="21" fillId="5" borderId="19" xfId="0" applyNumberFormat="1" applyFont="1" applyFill="1" applyBorder="1"/>
    <xf numFmtId="2" fontId="21" fillId="5" borderId="20" xfId="0" applyNumberFormat="1" applyFont="1" applyFill="1" applyBorder="1"/>
    <xf numFmtId="0" fontId="54" fillId="3" borderId="0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/>
    </xf>
    <xf numFmtId="0" fontId="11" fillId="5" borderId="3" xfId="0" applyFont="1" applyFill="1" applyBorder="1" applyAlignment="1">
      <alignment horizontal="left"/>
    </xf>
    <xf numFmtId="0" fontId="11" fillId="5" borderId="25" xfId="0" applyFont="1" applyFill="1" applyBorder="1" applyAlignment="1">
      <alignment horizontal="left"/>
    </xf>
    <xf numFmtId="0" fontId="0" fillId="0" borderId="0" xfId="0" applyBorder="1"/>
    <xf numFmtId="0" fontId="44" fillId="3" borderId="0" xfId="0" applyFont="1" applyFill="1" applyBorder="1"/>
    <xf numFmtId="9" fontId="15" fillId="3" borderId="15" xfId="0" applyNumberFormat="1" applyFont="1" applyFill="1" applyBorder="1"/>
    <xf numFmtId="2" fontId="18" fillId="8" borderId="69" xfId="0" applyNumberFormat="1" applyFont="1" applyFill="1" applyBorder="1"/>
    <xf numFmtId="0" fontId="14" fillId="0" borderId="0" xfId="0" applyFont="1" applyFill="1" applyBorder="1"/>
    <xf numFmtId="2" fontId="18" fillId="4" borderId="18" xfId="0" applyNumberFormat="1" applyFont="1" applyFill="1" applyBorder="1"/>
    <xf numFmtId="2" fontId="18" fillId="4" borderId="19" xfId="0" applyNumberFormat="1" applyFont="1" applyFill="1" applyBorder="1"/>
    <xf numFmtId="2" fontId="18" fillId="4" borderId="20" xfId="0" applyNumberFormat="1" applyFont="1" applyFill="1" applyBorder="1"/>
    <xf numFmtId="0" fontId="15" fillId="6" borderId="17" xfId="0" applyFont="1" applyFill="1" applyBorder="1"/>
    <xf numFmtId="2" fontId="18" fillId="6" borderId="19" xfId="0" applyNumberFormat="1" applyFont="1" applyFill="1" applyBorder="1"/>
    <xf numFmtId="2" fontId="18" fillId="6" borderId="20" xfId="0" applyNumberFormat="1" applyFont="1" applyFill="1" applyBorder="1"/>
    <xf numFmtId="0" fontId="15" fillId="5" borderId="17" xfId="0" applyFont="1" applyFill="1" applyBorder="1"/>
    <xf numFmtId="2" fontId="18" fillId="5" borderId="19" xfId="0" applyNumberFormat="1" applyFont="1" applyFill="1" applyBorder="1"/>
    <xf numFmtId="2" fontId="18" fillId="5" borderId="20" xfId="0" applyNumberFormat="1" applyFont="1" applyFill="1" applyBorder="1"/>
    <xf numFmtId="0" fontId="15" fillId="8" borderId="22" xfId="0" applyFont="1" applyFill="1" applyBorder="1"/>
    <xf numFmtId="2" fontId="21" fillId="7" borderId="18" xfId="0" applyNumberFormat="1" applyFont="1" applyFill="1" applyBorder="1" applyAlignment="1">
      <alignment horizontal="center"/>
    </xf>
    <xf numFmtId="2" fontId="21" fillId="7" borderId="19" xfId="0" applyNumberFormat="1" applyFont="1" applyFill="1" applyBorder="1"/>
    <xf numFmtId="2" fontId="21" fillId="7" borderId="20" xfId="0" applyNumberFormat="1" applyFont="1" applyFill="1" applyBorder="1"/>
    <xf numFmtId="0" fontId="49" fillId="0" borderId="0" xfId="0" applyFont="1" applyAlignment="1">
      <alignment horizontal="left" wrapText="1"/>
    </xf>
    <xf numFmtId="0" fontId="49" fillId="0" borderId="0" xfId="0" applyFont="1" applyAlignment="1">
      <alignment horizontal="left" vertical="center" wrapText="1"/>
    </xf>
    <xf numFmtId="0" fontId="50" fillId="5" borderId="50" xfId="0" applyFont="1" applyFill="1" applyBorder="1" applyAlignment="1">
      <alignment horizontal="center" vertical="center" wrapText="1"/>
    </xf>
    <xf numFmtId="0" fontId="53" fillId="5" borderId="51" xfId="0" applyFont="1" applyFill="1" applyBorder="1" applyAlignment="1">
      <alignment horizontal="center" vertical="center" wrapText="1"/>
    </xf>
    <xf numFmtId="0" fontId="53" fillId="5" borderId="5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wrapText="1"/>
    </xf>
    <xf numFmtId="0" fontId="2" fillId="2" borderId="43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6" fillId="3" borderId="66" xfId="0" applyFont="1" applyFill="1" applyBorder="1" applyAlignment="1">
      <alignment horizontal="center"/>
    </xf>
    <xf numFmtId="0" fontId="56" fillId="3" borderId="67" xfId="0" applyFont="1" applyFill="1" applyBorder="1" applyAlignment="1">
      <alignment horizontal="center"/>
    </xf>
    <xf numFmtId="0" fontId="56" fillId="3" borderId="68" xfId="0" applyFont="1" applyFill="1" applyBorder="1" applyAlignment="1">
      <alignment horizontal="center"/>
    </xf>
    <xf numFmtId="14" fontId="17" fillId="3" borderId="0" xfId="0" applyNumberFormat="1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/>
    </xf>
    <xf numFmtId="0" fontId="44" fillId="3" borderId="4" xfId="0" applyFont="1" applyFill="1" applyBorder="1" applyAlignment="1">
      <alignment horizontal="left"/>
    </xf>
    <xf numFmtId="0" fontId="44" fillId="3" borderId="6" xfId="0" applyFont="1" applyFill="1" applyBorder="1" applyAlignment="1">
      <alignment horizontal="left"/>
    </xf>
    <xf numFmtId="0" fontId="44" fillId="3" borderId="5" xfId="0" applyFont="1" applyFill="1" applyBorder="1" applyAlignment="1">
      <alignment horizontal="left"/>
    </xf>
    <xf numFmtId="0" fontId="44" fillId="3" borderId="12" xfId="0" applyFont="1" applyFill="1" applyBorder="1" applyAlignment="1">
      <alignment horizontal="left"/>
    </xf>
    <xf numFmtId="0" fontId="44" fillId="3" borderId="1" xfId="0" applyFont="1" applyFill="1" applyBorder="1" applyAlignment="1">
      <alignment horizontal="left"/>
    </xf>
    <xf numFmtId="0" fontId="44" fillId="7" borderId="17" xfId="0" applyFont="1" applyFill="1" applyBorder="1" applyAlignment="1">
      <alignment horizontal="left"/>
    </xf>
    <xf numFmtId="0" fontId="44" fillId="7" borderId="19" xfId="0" applyFont="1" applyFill="1" applyBorder="1" applyAlignment="1">
      <alignment horizontal="left"/>
    </xf>
    <xf numFmtId="0" fontId="60" fillId="0" borderId="6" xfId="0" applyFont="1" applyBorder="1" applyAlignment="1">
      <alignment horizontal="center"/>
    </xf>
    <xf numFmtId="0" fontId="60" fillId="0" borderId="13" xfId="0" applyFont="1" applyBorder="1" applyAlignment="1">
      <alignment horizontal="center"/>
    </xf>
    <xf numFmtId="9" fontId="16" fillId="3" borderId="6" xfId="0" applyNumberFormat="1" applyFont="1" applyFill="1" applyBorder="1" applyAlignment="1">
      <alignment horizontal="center"/>
    </xf>
    <xf numFmtId="0" fontId="54" fillId="3" borderId="10" xfId="0" applyFont="1" applyFill="1" applyBorder="1" applyAlignment="1">
      <alignment horizontal="center" vertical="center" wrapText="1"/>
    </xf>
    <xf numFmtId="0" fontId="54" fillId="3" borderId="11" xfId="0" applyFont="1" applyFill="1" applyBorder="1" applyAlignment="1">
      <alignment horizontal="center" vertical="center" wrapText="1"/>
    </xf>
    <xf numFmtId="0" fontId="54" fillId="3" borderId="21" xfId="0" applyFont="1" applyFill="1" applyBorder="1" applyAlignment="1">
      <alignment horizontal="center" vertical="center" wrapText="1"/>
    </xf>
    <xf numFmtId="0" fontId="54" fillId="3" borderId="47" xfId="0" applyFont="1" applyFill="1" applyBorder="1" applyAlignment="1">
      <alignment horizontal="center" vertical="center" wrapText="1"/>
    </xf>
    <xf numFmtId="0" fontId="54" fillId="3" borderId="27" xfId="0" applyFont="1" applyFill="1" applyBorder="1" applyAlignment="1">
      <alignment horizontal="center" vertical="center" wrapText="1"/>
    </xf>
    <xf numFmtId="0" fontId="54" fillId="3" borderId="63" xfId="0" applyFont="1" applyFill="1" applyBorder="1" applyAlignment="1">
      <alignment horizontal="center" vertical="center" wrapText="1"/>
    </xf>
    <xf numFmtId="0" fontId="54" fillId="3" borderId="48" xfId="0" applyFont="1" applyFill="1" applyBorder="1" applyAlignment="1">
      <alignment horizontal="center" vertical="center" wrapText="1"/>
    </xf>
    <xf numFmtId="0" fontId="54" fillId="3" borderId="49" xfId="0" applyFont="1" applyFill="1" applyBorder="1" applyAlignment="1">
      <alignment horizontal="center" vertical="center" wrapText="1"/>
    </xf>
    <xf numFmtId="0" fontId="59" fillId="0" borderId="12" xfId="0" applyFont="1" applyBorder="1"/>
    <xf numFmtId="0" fontId="59" fillId="0" borderId="1" xfId="0" applyFont="1" applyBorder="1"/>
    <xf numFmtId="0" fontId="15" fillId="5" borderId="22" xfId="0" applyFont="1" applyFill="1" applyBorder="1" applyAlignment="1">
      <alignment horizontal="left"/>
    </xf>
    <xf numFmtId="0" fontId="15" fillId="5" borderId="29" xfId="0" applyFont="1" applyFill="1" applyBorder="1" applyAlignment="1">
      <alignment horizontal="left"/>
    </xf>
    <xf numFmtId="0" fontId="15" fillId="5" borderId="18" xfId="0" applyFont="1" applyFill="1" applyBorder="1" applyAlignment="1">
      <alignment horizontal="left"/>
    </xf>
    <xf numFmtId="9" fontId="26" fillId="3" borderId="6" xfId="0" applyNumberFormat="1" applyFont="1" applyFill="1" applyBorder="1" applyAlignment="1">
      <alignment horizontal="center"/>
    </xf>
    <xf numFmtId="9" fontId="26" fillId="3" borderId="13" xfId="0" applyNumberFormat="1" applyFont="1" applyFill="1" applyBorder="1" applyAlignment="1">
      <alignment horizontal="center"/>
    </xf>
    <xf numFmtId="9" fontId="23" fillId="3" borderId="6" xfId="0" applyNumberFormat="1" applyFont="1" applyFill="1" applyBorder="1" applyAlignment="1">
      <alignment horizontal="center"/>
    </xf>
    <xf numFmtId="9" fontId="23" fillId="3" borderId="13" xfId="0" applyNumberFormat="1" applyFont="1" applyFill="1" applyBorder="1" applyAlignment="1">
      <alignment horizontal="center"/>
    </xf>
    <xf numFmtId="0" fontId="58" fillId="3" borderId="66" xfId="0" applyFont="1" applyFill="1" applyBorder="1" applyAlignment="1">
      <alignment horizontal="center"/>
    </xf>
    <xf numFmtId="0" fontId="58" fillId="3" borderId="67" xfId="0" applyFont="1" applyFill="1" applyBorder="1" applyAlignment="1">
      <alignment horizontal="center"/>
    </xf>
    <xf numFmtId="0" fontId="58" fillId="3" borderId="6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55" fillId="7" borderId="4" xfId="0" applyFont="1" applyFill="1" applyBorder="1" applyAlignment="1">
      <alignment horizontal="center"/>
    </xf>
    <xf numFmtId="0" fontId="55" fillId="7" borderId="6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14" fontId="17" fillId="3" borderId="22" xfId="0" applyNumberFormat="1" applyFont="1" applyFill="1" applyBorder="1" applyAlignment="1">
      <alignment horizontal="center" vertical="center"/>
    </xf>
    <xf numFmtId="14" fontId="17" fillId="3" borderId="29" xfId="0" applyNumberFormat="1" applyFont="1" applyFill="1" applyBorder="1" applyAlignment="1">
      <alignment horizontal="center" vertical="center"/>
    </xf>
    <xf numFmtId="14" fontId="17" fillId="3" borderId="30" xfId="0" applyNumberFormat="1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left"/>
    </xf>
    <xf numFmtId="0" fontId="28" fillId="6" borderId="3" xfId="0" applyFont="1" applyFill="1" applyBorder="1" applyAlignment="1">
      <alignment horizontal="left"/>
    </xf>
    <xf numFmtId="0" fontId="28" fillId="6" borderId="25" xfId="0" applyFont="1" applyFill="1" applyBorder="1" applyAlignment="1">
      <alignment horizontal="left"/>
    </xf>
    <xf numFmtId="9" fontId="26" fillId="3" borderId="9" xfId="0" applyNumberFormat="1" applyFont="1" applyFill="1" applyBorder="1" applyAlignment="1">
      <alignment horizontal="center"/>
    </xf>
    <xf numFmtId="0" fontId="11" fillId="4" borderId="4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left"/>
    </xf>
    <xf numFmtId="0" fontId="15" fillId="3" borderId="4" xfId="0" applyFont="1" applyFill="1" applyBorder="1"/>
    <xf numFmtId="0" fontId="15" fillId="3" borderId="6" xfId="0" applyFont="1" applyFill="1" applyBorder="1"/>
    <xf numFmtId="0" fontId="15" fillId="4" borderId="22" xfId="0" applyFont="1" applyFill="1" applyBorder="1" applyAlignment="1">
      <alignment horizontal="center"/>
    </xf>
    <xf numFmtId="0" fontId="15" fillId="4" borderId="29" xfId="0" applyFont="1" applyFill="1" applyBorder="1" applyAlignment="1">
      <alignment horizontal="center"/>
    </xf>
    <xf numFmtId="0" fontId="15" fillId="4" borderId="18" xfId="0" applyFont="1" applyFill="1" applyBorder="1" applyAlignment="1">
      <alignment horizontal="center"/>
    </xf>
    <xf numFmtId="0" fontId="57" fillId="3" borderId="66" xfId="0" applyFont="1" applyFill="1" applyBorder="1" applyAlignment="1">
      <alignment horizontal="center"/>
    </xf>
    <xf numFmtId="0" fontId="57" fillId="3" borderId="67" xfId="0" applyFont="1" applyFill="1" applyBorder="1" applyAlignment="1">
      <alignment horizontal="center"/>
    </xf>
    <xf numFmtId="0" fontId="57" fillId="3" borderId="68" xfId="0" applyFont="1" applyFill="1" applyBorder="1" applyAlignment="1">
      <alignment horizontal="center"/>
    </xf>
    <xf numFmtId="0" fontId="31" fillId="0" borderId="66" xfId="0" applyFont="1" applyBorder="1" applyAlignment="1">
      <alignment horizontal="center" vertical="center"/>
    </xf>
    <xf numFmtId="0" fontId="31" fillId="0" borderId="67" xfId="0" applyFont="1" applyBorder="1" applyAlignment="1">
      <alignment horizontal="center" vertical="center"/>
    </xf>
    <xf numFmtId="0" fontId="31" fillId="0" borderId="68" xfId="0" applyFont="1" applyBorder="1" applyAlignment="1">
      <alignment horizontal="center" vertical="center"/>
    </xf>
    <xf numFmtId="2" fontId="30" fillId="2" borderId="9" xfId="0" applyNumberFormat="1" applyFont="1" applyFill="1" applyBorder="1" applyAlignment="1">
      <alignment horizontal="center"/>
    </xf>
    <xf numFmtId="2" fontId="30" fillId="2" borderId="6" xfId="0" applyNumberFormat="1" applyFont="1" applyFill="1" applyBorder="1" applyAlignment="1">
      <alignment horizontal="center"/>
    </xf>
    <xf numFmtId="2" fontId="30" fillId="2" borderId="13" xfId="0" applyNumberFormat="1" applyFont="1" applyFill="1" applyBorder="1" applyAlignment="1">
      <alignment horizontal="center"/>
    </xf>
    <xf numFmtId="0" fontId="11" fillId="7" borderId="23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11" fillId="7" borderId="24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  <xf numFmtId="0" fontId="11" fillId="7" borderId="25" xfId="0" applyFont="1" applyFill="1" applyBorder="1" applyAlignment="1">
      <alignment horizontal="center"/>
    </xf>
    <xf numFmtId="9" fontId="29" fillId="3" borderId="8" xfId="0" applyNumberFormat="1" applyFont="1" applyFill="1" applyBorder="1" applyAlignment="1">
      <alignment horizontal="center"/>
    </xf>
    <xf numFmtId="9" fontId="29" fillId="3" borderId="24" xfId="0" applyNumberFormat="1" applyFont="1" applyFill="1" applyBorder="1" applyAlignment="1">
      <alignment horizontal="center"/>
    </xf>
    <xf numFmtId="0" fontId="29" fillId="3" borderId="9" xfId="0" applyFont="1" applyFill="1" applyBorder="1" applyAlignment="1">
      <alignment horizontal="center"/>
    </xf>
    <xf numFmtId="0" fontId="29" fillId="3" borderId="6" xfId="0" applyFont="1" applyFill="1" applyBorder="1" applyAlignment="1">
      <alignment horizontal="center"/>
    </xf>
    <xf numFmtId="0" fontId="29" fillId="3" borderId="13" xfId="0" applyFont="1" applyFill="1" applyBorder="1" applyAlignment="1">
      <alignment horizontal="center"/>
    </xf>
    <xf numFmtId="0" fontId="30" fillId="3" borderId="9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left"/>
    </xf>
    <xf numFmtId="0" fontId="11" fillId="9" borderId="3" xfId="0" applyFont="1" applyFill="1" applyBorder="1" applyAlignment="1">
      <alignment horizontal="left"/>
    </xf>
    <xf numFmtId="0" fontId="11" fillId="9" borderId="25" xfId="0" applyFont="1" applyFill="1" applyBorder="1" applyAlignment="1">
      <alignment horizontal="left"/>
    </xf>
    <xf numFmtId="9" fontId="16" fillId="3" borderId="13" xfId="0" applyNumberFormat="1" applyFont="1" applyFill="1" applyBorder="1" applyAlignment="1">
      <alignment horizontal="center"/>
    </xf>
    <xf numFmtId="0" fontId="11" fillId="8" borderId="2" xfId="0" applyFont="1" applyFill="1" applyBorder="1" applyAlignment="1">
      <alignment horizontal="left"/>
    </xf>
    <xf numFmtId="0" fontId="11" fillId="8" borderId="3" xfId="0" applyFont="1" applyFill="1" applyBorder="1" applyAlignment="1">
      <alignment horizontal="left"/>
    </xf>
    <xf numFmtId="0" fontId="11" fillId="8" borderId="25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0" fontId="11" fillId="5" borderId="13" xfId="0" applyFont="1" applyFill="1" applyBorder="1" applyAlignment="1">
      <alignment horizontal="left"/>
    </xf>
    <xf numFmtId="0" fontId="3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/>
    </xf>
    <xf numFmtId="9" fontId="16" fillId="3" borderId="0" xfId="0" applyNumberFormat="1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2" fontId="30" fillId="3" borderId="9" xfId="0" applyNumberFormat="1" applyFont="1" applyFill="1" applyBorder="1" applyAlignment="1">
      <alignment horizontal="center"/>
    </xf>
    <xf numFmtId="2" fontId="30" fillId="3" borderId="6" xfId="0" applyNumberFormat="1" applyFont="1" applyFill="1" applyBorder="1" applyAlignment="1">
      <alignment horizontal="center"/>
    </xf>
    <xf numFmtId="2" fontId="30" fillId="3" borderId="13" xfId="0" applyNumberFormat="1" applyFont="1" applyFill="1" applyBorder="1" applyAlignment="1">
      <alignment horizontal="center"/>
    </xf>
    <xf numFmtId="2" fontId="30" fillId="2" borderId="26" xfId="0" applyNumberFormat="1" applyFont="1" applyFill="1" applyBorder="1" applyAlignment="1">
      <alignment horizontal="center"/>
    </xf>
    <xf numFmtId="2" fontId="30" fillId="2" borderId="0" xfId="0" applyNumberFormat="1" applyFont="1" applyFill="1" applyBorder="1" applyAlignment="1">
      <alignment horizontal="center"/>
    </xf>
    <xf numFmtId="2" fontId="30" fillId="2" borderId="27" xfId="0" applyNumberFormat="1" applyFont="1" applyFill="1" applyBorder="1" applyAlignment="1">
      <alignment horizontal="center"/>
    </xf>
    <xf numFmtId="2" fontId="30" fillId="7" borderId="28" xfId="0" applyNumberFormat="1" applyFont="1" applyFill="1" applyBorder="1" applyAlignment="1">
      <alignment horizontal="center"/>
    </xf>
    <xf numFmtId="2" fontId="30" fillId="7" borderId="29" xfId="0" applyNumberFormat="1" applyFont="1" applyFill="1" applyBorder="1" applyAlignment="1">
      <alignment horizontal="center"/>
    </xf>
    <xf numFmtId="2" fontId="30" fillId="7" borderId="30" xfId="0" applyNumberFormat="1" applyFont="1" applyFill="1" applyBorder="1" applyAlignment="1">
      <alignment horizontal="center"/>
    </xf>
    <xf numFmtId="9" fontId="26" fillId="3" borderId="0" xfId="0" applyNumberFormat="1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/>
    </xf>
    <xf numFmtId="9" fontId="23" fillId="3" borderId="0" xfId="0" applyNumberFormat="1" applyFont="1" applyFill="1" applyBorder="1" applyAlignment="1">
      <alignment horizontal="center"/>
    </xf>
    <xf numFmtId="0" fontId="28" fillId="3" borderId="0" xfId="0" applyFont="1" applyFill="1" applyBorder="1" applyAlignment="1">
      <alignment horizontal="left"/>
    </xf>
    <xf numFmtId="2" fontId="30" fillId="3" borderId="0" xfId="0" applyNumberFormat="1" applyFont="1" applyFill="1" applyBorder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9" fontId="29" fillId="3" borderId="0" xfId="0" applyNumberFormat="1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7" fillId="0" borderId="64" xfId="0" applyFont="1" applyBorder="1" applyAlignment="1">
      <alignment horizontal="center"/>
    </xf>
    <xf numFmtId="0" fontId="35" fillId="0" borderId="50" xfId="0" applyFont="1" applyBorder="1" applyAlignment="1">
      <alignment horizontal="center" wrapText="1"/>
    </xf>
    <xf numFmtId="0" fontId="35" fillId="0" borderId="51" xfId="0" applyFont="1" applyBorder="1" applyAlignment="1">
      <alignment horizontal="center" wrapText="1"/>
    </xf>
    <xf numFmtId="0" fontId="35" fillId="0" borderId="52" xfId="0" applyFont="1" applyBorder="1" applyAlignment="1">
      <alignment horizont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0" borderId="37" xfId="0" applyFont="1" applyBorder="1" applyAlignment="1">
      <alignment horizontal="center" vertical="center" wrapText="1"/>
    </xf>
    <xf numFmtId="0" fontId="35" fillId="0" borderId="39" xfId="0" applyFont="1" applyBorder="1" applyAlignment="1">
      <alignment horizontal="center" vertical="center" wrapText="1"/>
    </xf>
    <xf numFmtId="0" fontId="35" fillId="0" borderId="40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35" fillId="0" borderId="56" xfId="0" applyFont="1" applyBorder="1" applyAlignment="1">
      <alignment horizontal="center" vertical="center" wrapText="1"/>
    </xf>
    <xf numFmtId="0" fontId="35" fillId="0" borderId="3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41" xfId="0" applyFont="1" applyBorder="1" applyAlignment="1">
      <alignment vertical="center" wrapText="1"/>
    </xf>
    <xf numFmtId="0" fontId="35" fillId="0" borderId="42" xfId="0" applyFont="1" applyBorder="1" applyAlignment="1">
      <alignment vertical="center" wrapText="1"/>
    </xf>
    <xf numFmtId="0" fontId="35" fillId="0" borderId="31" xfId="0" applyFont="1" applyBorder="1" applyAlignment="1">
      <alignment vertical="center" wrapText="1"/>
    </xf>
    <xf numFmtId="0" fontId="35" fillId="0" borderId="32" xfId="0" applyFont="1" applyBorder="1" applyAlignment="1">
      <alignment vertical="center" wrapText="1"/>
    </xf>
    <xf numFmtId="17" fontId="40" fillId="5" borderId="59" xfId="0" applyNumberFormat="1" applyFont="1" applyFill="1" applyBorder="1" applyAlignment="1">
      <alignment horizontal="center" vertical="center"/>
    </xf>
    <xf numFmtId="17" fontId="40" fillId="5" borderId="51" xfId="0" applyNumberFormat="1" applyFont="1" applyFill="1" applyBorder="1" applyAlignment="1">
      <alignment horizontal="center" vertical="center"/>
    </xf>
    <xf numFmtId="17" fontId="40" fillId="5" borderId="52" xfId="0" applyNumberFormat="1" applyFont="1" applyFill="1" applyBorder="1" applyAlignment="1">
      <alignment horizontal="center" vertical="center"/>
    </xf>
    <xf numFmtId="0" fontId="38" fillId="0" borderId="51" xfId="0" applyFont="1" applyBorder="1" applyAlignment="1">
      <alignment horizontal="center"/>
    </xf>
    <xf numFmtId="0" fontId="42" fillId="0" borderId="45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2" fillId="0" borderId="61" xfId="0" applyFont="1" applyBorder="1" applyAlignment="1">
      <alignment horizontal="center" vertical="center" wrapText="1"/>
    </xf>
    <xf numFmtId="0" fontId="45" fillId="0" borderId="7" xfId="0" applyFont="1" applyBorder="1" applyAlignment="1">
      <alignment horizontal="center" vertical="center" wrapText="1"/>
    </xf>
    <xf numFmtId="0" fontId="45" fillId="0" borderId="62" xfId="0" applyFont="1" applyBorder="1" applyAlignment="1">
      <alignment horizontal="center" vertical="center" wrapText="1"/>
    </xf>
    <xf numFmtId="0" fontId="45" fillId="0" borderId="60" xfId="0" applyFont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/>
    </xf>
    <xf numFmtId="2" fontId="18" fillId="0" borderId="5" xfId="0" applyNumberFormat="1" applyFont="1" applyFill="1" applyBorder="1" applyAlignment="1">
      <alignment horizontal="center"/>
    </xf>
    <xf numFmtId="0" fontId="29" fillId="4" borderId="9" xfId="0" applyFont="1" applyFill="1" applyBorder="1" applyAlignment="1">
      <alignment horizontal="center"/>
    </xf>
    <xf numFmtId="0" fontId="29" fillId="4" borderId="5" xfId="0" applyFont="1" applyFill="1" applyBorder="1" applyAlignment="1">
      <alignment horizontal="center"/>
    </xf>
    <xf numFmtId="0" fontId="21" fillId="10" borderId="45" xfId="0" applyFont="1" applyFill="1" applyBorder="1" applyAlignment="1">
      <alignment horizontal="center" wrapText="1"/>
    </xf>
    <xf numFmtId="0" fontId="21" fillId="10" borderId="8" xfId="0" applyFont="1" applyFill="1" applyBorder="1" applyAlignment="1">
      <alignment horizontal="center" wrapText="1"/>
    </xf>
    <xf numFmtId="0" fontId="21" fillId="10" borderId="46" xfId="0" applyFont="1" applyFill="1" applyBorder="1" applyAlignment="1">
      <alignment horizontal="center" wrapText="1"/>
    </xf>
    <xf numFmtId="0" fontId="21" fillId="10" borderId="61" xfId="0" applyFont="1" applyFill="1" applyBorder="1" applyAlignment="1">
      <alignment horizontal="center" wrapText="1"/>
    </xf>
    <xf numFmtId="0" fontId="21" fillId="10" borderId="3" xfId="0" applyFont="1" applyFill="1" applyBorder="1" applyAlignment="1">
      <alignment horizontal="center" wrapText="1"/>
    </xf>
    <xf numFmtId="0" fontId="21" fillId="10" borderId="65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3" fillId="3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00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1"/>
  <sheetViews>
    <sheetView topLeftCell="A3" workbookViewId="0">
      <selection activeCell="B1" sqref="B1:P26"/>
    </sheetView>
  </sheetViews>
  <sheetFormatPr defaultRowHeight="15" x14ac:dyDescent="0.25"/>
  <cols>
    <col min="2" max="2" width="13.5703125" customWidth="1"/>
    <col min="16" max="16" width="17.5703125" customWidth="1"/>
  </cols>
  <sheetData>
    <row r="1" spans="2:16" x14ac:dyDescent="0.25">
      <c r="B1" s="363" t="s">
        <v>115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</row>
    <row r="2" spans="2:16" x14ac:dyDescent="0.25">
      <c r="B2" s="56"/>
    </row>
    <row r="8" spans="2:16" ht="15.75" x14ac:dyDescent="0.25">
      <c r="B8" s="147" t="s">
        <v>113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8"/>
      <c r="O8" s="148"/>
      <c r="P8" s="148"/>
    </row>
    <row r="9" spans="2:16" ht="15.75" x14ac:dyDescent="0.25">
      <c r="B9" s="147" t="s">
        <v>63</v>
      </c>
      <c r="C9" s="149" t="s">
        <v>64</v>
      </c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8"/>
      <c r="O9" s="148"/>
      <c r="P9" s="148"/>
    </row>
    <row r="10" spans="2:16" ht="15.75" x14ac:dyDescent="0.25">
      <c r="B10" s="147" t="s">
        <v>5</v>
      </c>
      <c r="C10" s="149" t="s">
        <v>106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8"/>
      <c r="O10" s="148"/>
      <c r="P10" s="148"/>
    </row>
    <row r="11" spans="2:16" ht="15.75" x14ac:dyDescent="0.25">
      <c r="B11" s="147" t="s">
        <v>6</v>
      </c>
      <c r="C11" s="149" t="s">
        <v>7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8"/>
      <c r="O11" s="148"/>
      <c r="P11" s="148"/>
    </row>
    <row r="12" spans="2:16" ht="32.25" customHeight="1" x14ac:dyDescent="0.25">
      <c r="B12" s="147" t="s">
        <v>8</v>
      </c>
      <c r="C12" s="190" t="s">
        <v>62</v>
      </c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48"/>
    </row>
    <row r="13" spans="2:16" ht="15.75" x14ac:dyDescent="0.25">
      <c r="B13" s="147" t="s">
        <v>61</v>
      </c>
      <c r="C13" s="149" t="s">
        <v>107</v>
      </c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</row>
    <row r="14" spans="2:16" x14ac:dyDescent="0.25"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48"/>
      <c r="P14" s="148"/>
    </row>
    <row r="15" spans="2:16" x14ac:dyDescent="0.25"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</row>
    <row r="16" spans="2:16" ht="15.75" x14ac:dyDescent="0.25">
      <c r="B16" s="149" t="s">
        <v>112</v>
      </c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</row>
    <row r="17" spans="2:16" x14ac:dyDescent="0.25"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</row>
    <row r="18" spans="2:16" ht="60.75" customHeight="1" x14ac:dyDescent="0.25">
      <c r="B18" s="191" t="s">
        <v>116</v>
      </c>
      <c r="C18" s="191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</row>
    <row r="19" spans="2:16" ht="63.75" customHeight="1" x14ac:dyDescent="0.25">
      <c r="B19" s="191" t="s">
        <v>117</v>
      </c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</row>
    <row r="20" spans="2:16" ht="63" customHeight="1" x14ac:dyDescent="0.25">
      <c r="B20" s="191" t="s">
        <v>114</v>
      </c>
      <c r="C20" s="191"/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</row>
    <row r="21" spans="2:16" x14ac:dyDescent="0.25"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</row>
  </sheetData>
  <mergeCells count="5">
    <mergeCell ref="C12:O12"/>
    <mergeCell ref="B18:P18"/>
    <mergeCell ref="B19:P19"/>
    <mergeCell ref="B20:P20"/>
    <mergeCell ref="B1:P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0"/>
  <sheetViews>
    <sheetView topLeftCell="F34" workbookViewId="0">
      <selection activeCell="B1" sqref="B1:Q51"/>
    </sheetView>
  </sheetViews>
  <sheetFormatPr defaultRowHeight="15" x14ac:dyDescent="0.25"/>
  <cols>
    <col min="2" max="2" width="9.7109375" customWidth="1"/>
    <col min="3" max="3" width="12.85546875" customWidth="1"/>
    <col min="4" max="4" width="19.85546875" customWidth="1"/>
    <col min="5" max="5" width="19.5703125" customWidth="1"/>
    <col min="6" max="6" width="19.42578125" customWidth="1"/>
    <col min="7" max="7" width="18.28515625" customWidth="1"/>
    <col min="8" max="9" width="18.5703125" customWidth="1"/>
    <col min="10" max="10" width="18.140625" customWidth="1"/>
    <col min="11" max="11" width="18.42578125" customWidth="1"/>
    <col min="12" max="12" width="19.42578125" customWidth="1"/>
    <col min="13" max="13" width="19.5703125" customWidth="1"/>
    <col min="14" max="14" width="21.5703125" customWidth="1"/>
    <col min="15" max="15" width="21.140625" customWidth="1"/>
    <col min="16" max="16" width="14.85546875" customWidth="1"/>
    <col min="17" max="17" width="12.85546875" customWidth="1"/>
  </cols>
  <sheetData>
    <row r="1" spans="2:17" ht="86.25" customHeight="1" thickBot="1" x14ac:dyDescent="0.3">
      <c r="B1" s="192" t="s">
        <v>129</v>
      </c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4"/>
    </row>
    <row r="2" spans="2:17" ht="36.75" customHeight="1" x14ac:dyDescent="0.35">
      <c r="B2" s="195" t="s">
        <v>0</v>
      </c>
      <c r="C2" s="196"/>
      <c r="D2" s="197">
        <v>4</v>
      </c>
      <c r="E2" s="198"/>
      <c r="F2" s="199">
        <v>5</v>
      </c>
      <c r="G2" s="198"/>
      <c r="H2" s="199">
        <v>6</v>
      </c>
      <c r="I2" s="198"/>
      <c r="J2" s="199">
        <v>7</v>
      </c>
      <c r="K2" s="198"/>
      <c r="L2" s="197">
        <v>8</v>
      </c>
      <c r="M2" s="198"/>
      <c r="N2" s="205">
        <v>9</v>
      </c>
      <c r="O2" s="206"/>
      <c r="P2" s="195" t="s">
        <v>0</v>
      </c>
      <c r="Q2" s="200"/>
    </row>
    <row r="3" spans="2:17" ht="27" x14ac:dyDescent="0.35">
      <c r="B3" s="364" t="s">
        <v>1</v>
      </c>
      <c r="C3" s="207"/>
      <c r="D3" s="63">
        <v>1</v>
      </c>
      <c r="E3" s="64">
        <v>2</v>
      </c>
      <c r="F3" s="57">
        <v>1</v>
      </c>
      <c r="G3" s="64">
        <v>2</v>
      </c>
      <c r="H3" s="57">
        <v>1</v>
      </c>
      <c r="I3" s="64">
        <v>2</v>
      </c>
      <c r="J3" s="57">
        <v>1</v>
      </c>
      <c r="K3" s="76">
        <v>2</v>
      </c>
      <c r="L3" s="63">
        <v>1</v>
      </c>
      <c r="M3" s="76">
        <v>2</v>
      </c>
      <c r="N3" s="77">
        <v>1</v>
      </c>
      <c r="O3" s="78">
        <v>2</v>
      </c>
      <c r="P3" s="201" t="s">
        <v>1</v>
      </c>
      <c r="Q3" s="202"/>
    </row>
    <row r="4" spans="2:17" ht="40.5" customHeight="1" x14ac:dyDescent="0.65">
      <c r="B4" s="203" t="s">
        <v>2</v>
      </c>
      <c r="C4" s="208"/>
      <c r="D4" s="65">
        <v>612.5</v>
      </c>
      <c r="E4" s="66">
        <v>655.5</v>
      </c>
      <c r="F4" s="58">
        <v>678.5</v>
      </c>
      <c r="G4" s="66">
        <v>724</v>
      </c>
      <c r="H4" s="58">
        <v>759</v>
      </c>
      <c r="I4" s="66">
        <v>810.5</v>
      </c>
      <c r="J4" s="58">
        <v>828.5</v>
      </c>
      <c r="K4" s="66">
        <v>883.5</v>
      </c>
      <c r="L4" s="65">
        <v>927.5</v>
      </c>
      <c r="M4" s="66">
        <v>990</v>
      </c>
      <c r="N4" s="58">
        <v>1038.5</v>
      </c>
      <c r="O4" s="66">
        <v>1109</v>
      </c>
      <c r="P4" s="203" t="s">
        <v>2</v>
      </c>
      <c r="Q4" s="204"/>
    </row>
    <row r="5" spans="2:17" ht="36" x14ac:dyDescent="0.35">
      <c r="B5" s="365" t="s">
        <v>3</v>
      </c>
      <c r="C5" s="2" t="s">
        <v>4</v>
      </c>
      <c r="D5" s="67"/>
      <c r="E5" s="68"/>
      <c r="F5" s="59"/>
      <c r="G5" s="68"/>
      <c r="H5" s="59"/>
      <c r="I5" s="68"/>
      <c r="J5" s="59"/>
      <c r="K5" s="68"/>
      <c r="L5" s="67"/>
      <c r="M5" s="68"/>
      <c r="N5" s="59"/>
      <c r="O5" s="68"/>
      <c r="P5" s="1" t="s">
        <v>3</v>
      </c>
      <c r="Q5" s="138" t="s">
        <v>4</v>
      </c>
    </row>
    <row r="6" spans="2:17" ht="33.75" x14ac:dyDescent="0.65">
      <c r="B6" s="366">
        <v>1</v>
      </c>
      <c r="C6" s="3">
        <v>1</v>
      </c>
      <c r="D6" s="69">
        <f>CEILING(D4:O4/100*1,0.5)</f>
        <v>6.5</v>
      </c>
      <c r="E6" s="70">
        <f t="shared" ref="E6:O6" si="0">CEILING(E4:P4/100*1,0.5)</f>
        <v>7</v>
      </c>
      <c r="F6" s="60">
        <f t="shared" si="0"/>
        <v>7</v>
      </c>
      <c r="G6" s="70">
        <f t="shared" si="0"/>
        <v>7.5</v>
      </c>
      <c r="H6" s="60">
        <f t="shared" si="0"/>
        <v>8</v>
      </c>
      <c r="I6" s="70">
        <f t="shared" si="0"/>
        <v>8.5</v>
      </c>
      <c r="J6" s="60">
        <f t="shared" si="0"/>
        <v>8.5</v>
      </c>
      <c r="K6" s="70">
        <f t="shared" si="0"/>
        <v>9</v>
      </c>
      <c r="L6" s="69">
        <f t="shared" si="0"/>
        <v>9.5</v>
      </c>
      <c r="M6" s="70">
        <f t="shared" si="0"/>
        <v>10</v>
      </c>
      <c r="N6" s="60">
        <f t="shared" si="0"/>
        <v>10.5</v>
      </c>
      <c r="O6" s="70">
        <f t="shared" si="0"/>
        <v>11.5</v>
      </c>
      <c r="P6" s="8">
        <v>1</v>
      </c>
      <c r="Q6" s="139">
        <v>1</v>
      </c>
    </row>
    <row r="7" spans="2:17" ht="33.75" x14ac:dyDescent="0.65">
      <c r="B7" s="366">
        <v>2</v>
      </c>
      <c r="C7" s="3">
        <v>2</v>
      </c>
      <c r="D7" s="69">
        <f>CEILING(D4:O4/100*2,0.5)</f>
        <v>12.5</v>
      </c>
      <c r="E7" s="70">
        <f t="shared" ref="E7:O7" si="1">CEILING(E4:P4/100*2,0.5)</f>
        <v>13.5</v>
      </c>
      <c r="F7" s="60">
        <f t="shared" si="1"/>
        <v>14</v>
      </c>
      <c r="G7" s="70">
        <f t="shared" si="1"/>
        <v>14.5</v>
      </c>
      <c r="H7" s="60">
        <f t="shared" si="1"/>
        <v>15.5</v>
      </c>
      <c r="I7" s="70">
        <f t="shared" si="1"/>
        <v>16.5</v>
      </c>
      <c r="J7" s="60">
        <f t="shared" si="1"/>
        <v>17</v>
      </c>
      <c r="K7" s="70">
        <f t="shared" si="1"/>
        <v>18</v>
      </c>
      <c r="L7" s="69">
        <f t="shared" si="1"/>
        <v>19</v>
      </c>
      <c r="M7" s="70">
        <f t="shared" si="1"/>
        <v>20</v>
      </c>
      <c r="N7" s="60">
        <f t="shared" si="1"/>
        <v>21</v>
      </c>
      <c r="O7" s="70">
        <f t="shared" si="1"/>
        <v>22.5</v>
      </c>
      <c r="P7" s="8">
        <v>2</v>
      </c>
      <c r="Q7" s="139">
        <v>2</v>
      </c>
    </row>
    <row r="8" spans="2:17" ht="33.75" x14ac:dyDescent="0.65">
      <c r="B8" s="366">
        <v>3</v>
      </c>
      <c r="C8" s="3">
        <v>3</v>
      </c>
      <c r="D8" s="69">
        <f>CEILING(D4:O4/100*3,0.5)</f>
        <v>18.5</v>
      </c>
      <c r="E8" s="70">
        <f t="shared" ref="E8:O8" si="2">CEILING(E4:P4/100*3,0.5)</f>
        <v>20</v>
      </c>
      <c r="F8" s="60">
        <f t="shared" si="2"/>
        <v>20.5</v>
      </c>
      <c r="G8" s="70">
        <f t="shared" si="2"/>
        <v>22</v>
      </c>
      <c r="H8" s="60">
        <f t="shared" si="2"/>
        <v>23</v>
      </c>
      <c r="I8" s="70">
        <f t="shared" si="2"/>
        <v>24.5</v>
      </c>
      <c r="J8" s="60">
        <f t="shared" si="2"/>
        <v>25</v>
      </c>
      <c r="K8" s="70">
        <f t="shared" si="2"/>
        <v>27</v>
      </c>
      <c r="L8" s="69">
        <f t="shared" si="2"/>
        <v>28</v>
      </c>
      <c r="M8" s="70">
        <f t="shared" si="2"/>
        <v>30</v>
      </c>
      <c r="N8" s="60">
        <f t="shared" si="2"/>
        <v>31.5</v>
      </c>
      <c r="O8" s="70">
        <f t="shared" si="2"/>
        <v>33.5</v>
      </c>
      <c r="P8" s="8">
        <v>3</v>
      </c>
      <c r="Q8" s="139">
        <v>3</v>
      </c>
    </row>
    <row r="9" spans="2:17" ht="33.75" x14ac:dyDescent="0.65">
      <c r="B9" s="366">
        <v>4</v>
      </c>
      <c r="C9" s="3">
        <v>4</v>
      </c>
      <c r="D9" s="69">
        <f>CEILING(D4:O4/100*4,0.5)</f>
        <v>24.5</v>
      </c>
      <c r="E9" s="70">
        <f t="shared" ref="E9:O9" si="3">CEILING(E4:P4/100*4,0.5)</f>
        <v>26.5</v>
      </c>
      <c r="F9" s="60">
        <f t="shared" si="3"/>
        <v>27.5</v>
      </c>
      <c r="G9" s="70">
        <f t="shared" si="3"/>
        <v>29</v>
      </c>
      <c r="H9" s="60">
        <f t="shared" si="3"/>
        <v>30.5</v>
      </c>
      <c r="I9" s="70">
        <f t="shared" si="3"/>
        <v>32.5</v>
      </c>
      <c r="J9" s="60">
        <f t="shared" si="3"/>
        <v>33.5</v>
      </c>
      <c r="K9" s="70">
        <f t="shared" si="3"/>
        <v>35.5</v>
      </c>
      <c r="L9" s="69">
        <f t="shared" si="3"/>
        <v>37.5</v>
      </c>
      <c r="M9" s="70">
        <f t="shared" si="3"/>
        <v>40</v>
      </c>
      <c r="N9" s="60">
        <f t="shared" si="3"/>
        <v>42</v>
      </c>
      <c r="O9" s="70">
        <f t="shared" si="3"/>
        <v>44.5</v>
      </c>
      <c r="P9" s="8">
        <v>4</v>
      </c>
      <c r="Q9" s="139">
        <v>4</v>
      </c>
    </row>
    <row r="10" spans="2:17" ht="33.75" x14ac:dyDescent="0.65">
      <c r="B10" s="366">
        <v>5</v>
      </c>
      <c r="C10" s="3">
        <v>5</v>
      </c>
      <c r="D10" s="69">
        <f>CEILING(D4:O4/100*5,0.5)</f>
        <v>31</v>
      </c>
      <c r="E10" s="70">
        <f t="shared" ref="E10:O10" si="4">CEILING(E4:P4/100*5,0.5)</f>
        <v>33</v>
      </c>
      <c r="F10" s="60">
        <f t="shared" si="4"/>
        <v>34</v>
      </c>
      <c r="G10" s="70">
        <f t="shared" si="4"/>
        <v>36.5</v>
      </c>
      <c r="H10" s="60">
        <f t="shared" si="4"/>
        <v>38</v>
      </c>
      <c r="I10" s="70">
        <f t="shared" si="4"/>
        <v>41</v>
      </c>
      <c r="J10" s="60">
        <f t="shared" si="4"/>
        <v>41.5</v>
      </c>
      <c r="K10" s="70">
        <f t="shared" si="4"/>
        <v>44.5</v>
      </c>
      <c r="L10" s="69">
        <f t="shared" si="4"/>
        <v>46.5</v>
      </c>
      <c r="M10" s="70">
        <f t="shared" si="4"/>
        <v>49.5</v>
      </c>
      <c r="N10" s="60">
        <f t="shared" si="4"/>
        <v>52</v>
      </c>
      <c r="O10" s="70">
        <f t="shared" si="4"/>
        <v>55.5</v>
      </c>
      <c r="P10" s="8">
        <v>5</v>
      </c>
      <c r="Q10" s="139">
        <v>5</v>
      </c>
    </row>
    <row r="11" spans="2:17" ht="33.75" x14ac:dyDescent="0.65">
      <c r="B11" s="366">
        <v>6</v>
      </c>
      <c r="C11" s="3">
        <v>6</v>
      </c>
      <c r="D11" s="69">
        <f>CEILING(D4:O4/100*6,0.5)</f>
        <v>37</v>
      </c>
      <c r="E11" s="70">
        <f t="shared" ref="E11:O11" si="5">CEILING(E4:P4/100*6,0.5)</f>
        <v>39.5</v>
      </c>
      <c r="F11" s="60">
        <f t="shared" si="5"/>
        <v>41</v>
      </c>
      <c r="G11" s="70">
        <f t="shared" si="5"/>
        <v>43.5</v>
      </c>
      <c r="H11" s="60">
        <f t="shared" si="5"/>
        <v>46</v>
      </c>
      <c r="I11" s="70">
        <f t="shared" si="5"/>
        <v>49</v>
      </c>
      <c r="J11" s="60">
        <f t="shared" si="5"/>
        <v>50</v>
      </c>
      <c r="K11" s="70">
        <f t="shared" si="5"/>
        <v>53.5</v>
      </c>
      <c r="L11" s="69">
        <f t="shared" si="5"/>
        <v>56</v>
      </c>
      <c r="M11" s="70">
        <f t="shared" si="5"/>
        <v>59.5</v>
      </c>
      <c r="N11" s="60">
        <f t="shared" si="5"/>
        <v>62.5</v>
      </c>
      <c r="O11" s="70">
        <f t="shared" si="5"/>
        <v>67</v>
      </c>
      <c r="P11" s="8">
        <v>6</v>
      </c>
      <c r="Q11" s="139">
        <v>6</v>
      </c>
    </row>
    <row r="12" spans="2:17" ht="33.75" x14ac:dyDescent="0.65">
      <c r="B12" s="366">
        <v>7</v>
      </c>
      <c r="C12" s="3">
        <v>7</v>
      </c>
      <c r="D12" s="69">
        <f>CEILING(D4:O4/100*7,0.5)</f>
        <v>43</v>
      </c>
      <c r="E12" s="70">
        <f t="shared" ref="E12:O12" si="6">CEILING(E4:P4/100*7,0.5)</f>
        <v>46</v>
      </c>
      <c r="F12" s="60">
        <f t="shared" si="6"/>
        <v>47.5</v>
      </c>
      <c r="G12" s="70">
        <f t="shared" si="6"/>
        <v>51</v>
      </c>
      <c r="H12" s="60">
        <f t="shared" si="6"/>
        <v>53.5</v>
      </c>
      <c r="I12" s="70">
        <f t="shared" si="6"/>
        <v>57</v>
      </c>
      <c r="J12" s="60">
        <f t="shared" si="6"/>
        <v>58</v>
      </c>
      <c r="K12" s="70">
        <f t="shared" si="6"/>
        <v>62</v>
      </c>
      <c r="L12" s="69">
        <f t="shared" si="6"/>
        <v>65</v>
      </c>
      <c r="M12" s="70">
        <f t="shared" si="6"/>
        <v>69.5</v>
      </c>
      <c r="N12" s="60">
        <f t="shared" si="6"/>
        <v>73</v>
      </c>
      <c r="O12" s="70">
        <f t="shared" si="6"/>
        <v>78</v>
      </c>
      <c r="P12" s="8">
        <v>7</v>
      </c>
      <c r="Q12" s="139">
        <v>7</v>
      </c>
    </row>
    <row r="13" spans="2:17" ht="33.75" x14ac:dyDescent="0.65">
      <c r="B13" s="366">
        <v>8</v>
      </c>
      <c r="C13" s="3">
        <v>8</v>
      </c>
      <c r="D13" s="69">
        <f>CEILING(D4:O4/100*8,0.5)</f>
        <v>49</v>
      </c>
      <c r="E13" s="70">
        <f t="shared" ref="E13:O13" si="7">CEILING(E4:P4/100*8,0.5)</f>
        <v>52.5</v>
      </c>
      <c r="F13" s="60">
        <f t="shared" si="7"/>
        <v>54.5</v>
      </c>
      <c r="G13" s="70">
        <f t="shared" si="7"/>
        <v>58</v>
      </c>
      <c r="H13" s="60">
        <f t="shared" si="7"/>
        <v>61</v>
      </c>
      <c r="I13" s="70">
        <f t="shared" si="7"/>
        <v>65</v>
      </c>
      <c r="J13" s="60">
        <f t="shared" si="7"/>
        <v>66.5</v>
      </c>
      <c r="K13" s="70">
        <f t="shared" si="7"/>
        <v>71</v>
      </c>
      <c r="L13" s="69">
        <f t="shared" si="7"/>
        <v>74.5</v>
      </c>
      <c r="M13" s="70">
        <f t="shared" si="7"/>
        <v>79.5</v>
      </c>
      <c r="N13" s="60">
        <f t="shared" si="7"/>
        <v>83.5</v>
      </c>
      <c r="O13" s="70">
        <f t="shared" si="7"/>
        <v>89</v>
      </c>
      <c r="P13" s="8">
        <v>8</v>
      </c>
      <c r="Q13" s="139">
        <v>8</v>
      </c>
    </row>
    <row r="14" spans="2:17" ht="33.75" x14ac:dyDescent="0.65">
      <c r="B14" s="366">
        <v>9</v>
      </c>
      <c r="C14" s="3">
        <v>9</v>
      </c>
      <c r="D14" s="69">
        <f>CEILING(D4:O4/100*9,0.5)</f>
        <v>55.5</v>
      </c>
      <c r="E14" s="70">
        <f t="shared" ref="E14:O14" si="8">CEILING(E4:P4/100*9,0.5)</f>
        <v>59</v>
      </c>
      <c r="F14" s="60">
        <f t="shared" si="8"/>
        <v>61.5</v>
      </c>
      <c r="G14" s="70">
        <f t="shared" si="8"/>
        <v>65.5</v>
      </c>
      <c r="H14" s="60">
        <f t="shared" si="8"/>
        <v>68.5</v>
      </c>
      <c r="I14" s="70">
        <f t="shared" si="8"/>
        <v>73</v>
      </c>
      <c r="J14" s="60">
        <f t="shared" si="8"/>
        <v>75</v>
      </c>
      <c r="K14" s="70">
        <f t="shared" si="8"/>
        <v>80</v>
      </c>
      <c r="L14" s="69">
        <f t="shared" si="8"/>
        <v>83.5</v>
      </c>
      <c r="M14" s="70">
        <f t="shared" si="8"/>
        <v>89.5</v>
      </c>
      <c r="N14" s="60">
        <f t="shared" si="8"/>
        <v>93.5</v>
      </c>
      <c r="O14" s="70">
        <f t="shared" si="8"/>
        <v>100</v>
      </c>
      <c r="P14" s="8">
        <v>9</v>
      </c>
      <c r="Q14" s="139">
        <v>9</v>
      </c>
    </row>
    <row r="15" spans="2:17" ht="33.75" x14ac:dyDescent="0.65">
      <c r="B15" s="366">
        <v>10</v>
      </c>
      <c r="C15" s="3">
        <v>10</v>
      </c>
      <c r="D15" s="69">
        <f>CEILING(D4:O4/100*10,0.5)</f>
        <v>61.5</v>
      </c>
      <c r="E15" s="70">
        <f t="shared" ref="E15:O15" si="9">CEILING(E4:P4/100*10,0.5)</f>
        <v>66</v>
      </c>
      <c r="F15" s="60">
        <f t="shared" si="9"/>
        <v>68</v>
      </c>
      <c r="G15" s="70">
        <f t="shared" si="9"/>
        <v>72.5</v>
      </c>
      <c r="H15" s="60">
        <f t="shared" si="9"/>
        <v>76</v>
      </c>
      <c r="I15" s="70">
        <f t="shared" si="9"/>
        <v>81.5</v>
      </c>
      <c r="J15" s="60">
        <f t="shared" si="9"/>
        <v>83</v>
      </c>
      <c r="K15" s="70">
        <f t="shared" si="9"/>
        <v>88.5</v>
      </c>
      <c r="L15" s="69">
        <f t="shared" si="9"/>
        <v>93</v>
      </c>
      <c r="M15" s="70">
        <f t="shared" si="9"/>
        <v>99</v>
      </c>
      <c r="N15" s="60">
        <f t="shared" si="9"/>
        <v>104</v>
      </c>
      <c r="O15" s="70">
        <f t="shared" si="9"/>
        <v>111</v>
      </c>
      <c r="P15" s="8">
        <v>10</v>
      </c>
      <c r="Q15" s="139">
        <v>10</v>
      </c>
    </row>
    <row r="16" spans="2:17" ht="33.75" x14ac:dyDescent="0.65">
      <c r="B16" s="366">
        <v>11</v>
      </c>
      <c r="C16" s="3">
        <v>11</v>
      </c>
      <c r="D16" s="69">
        <f>CEILING(D4:O4/100*11,0.5)</f>
        <v>67.5</v>
      </c>
      <c r="E16" s="70">
        <f t="shared" ref="E16:O16" si="10">CEILING(E4:P4/100*11,0.5)</f>
        <v>72.5</v>
      </c>
      <c r="F16" s="60">
        <f t="shared" si="10"/>
        <v>75</v>
      </c>
      <c r="G16" s="70">
        <f t="shared" si="10"/>
        <v>80</v>
      </c>
      <c r="H16" s="60">
        <f t="shared" si="10"/>
        <v>83.5</v>
      </c>
      <c r="I16" s="70">
        <f t="shared" si="10"/>
        <v>89.5</v>
      </c>
      <c r="J16" s="60">
        <f t="shared" si="10"/>
        <v>91.5</v>
      </c>
      <c r="K16" s="70">
        <f t="shared" si="10"/>
        <v>97.5</v>
      </c>
      <c r="L16" s="69">
        <f t="shared" si="10"/>
        <v>102.5</v>
      </c>
      <c r="M16" s="70">
        <f t="shared" si="10"/>
        <v>109</v>
      </c>
      <c r="N16" s="60">
        <f t="shared" si="10"/>
        <v>114.5</v>
      </c>
      <c r="O16" s="70">
        <f t="shared" si="10"/>
        <v>122</v>
      </c>
      <c r="P16" s="8">
        <v>11</v>
      </c>
      <c r="Q16" s="139">
        <v>11</v>
      </c>
    </row>
    <row r="17" spans="2:17" ht="33.75" x14ac:dyDescent="0.65">
      <c r="B17" s="366">
        <v>12</v>
      </c>
      <c r="C17" s="3">
        <v>12</v>
      </c>
      <c r="D17" s="69">
        <f>CEILING(D4:O4/100*12,0.5)</f>
        <v>73.5</v>
      </c>
      <c r="E17" s="70">
        <f t="shared" ref="E17:O17" si="11">CEILING(E4:P4/100*12,0.5)</f>
        <v>79</v>
      </c>
      <c r="F17" s="60">
        <f t="shared" si="11"/>
        <v>81.5</v>
      </c>
      <c r="G17" s="70">
        <f t="shared" si="11"/>
        <v>87</v>
      </c>
      <c r="H17" s="60">
        <f t="shared" si="11"/>
        <v>91.5</v>
      </c>
      <c r="I17" s="70">
        <f t="shared" si="11"/>
        <v>97.5</v>
      </c>
      <c r="J17" s="60">
        <f t="shared" si="11"/>
        <v>99.5</v>
      </c>
      <c r="K17" s="70">
        <f t="shared" si="11"/>
        <v>106.5</v>
      </c>
      <c r="L17" s="69">
        <f t="shared" si="11"/>
        <v>111.5</v>
      </c>
      <c r="M17" s="70">
        <f t="shared" si="11"/>
        <v>119</v>
      </c>
      <c r="N17" s="60">
        <f t="shared" si="11"/>
        <v>125</v>
      </c>
      <c r="O17" s="70">
        <f t="shared" si="11"/>
        <v>133.5</v>
      </c>
      <c r="P17" s="8">
        <v>12</v>
      </c>
      <c r="Q17" s="139">
        <v>12</v>
      </c>
    </row>
    <row r="18" spans="2:17" ht="33.75" x14ac:dyDescent="0.65">
      <c r="B18" s="366">
        <v>13</v>
      </c>
      <c r="C18" s="3">
        <v>13</v>
      </c>
      <c r="D18" s="69">
        <f>CEILING(D4:O4/100*13,0.5)</f>
        <v>80</v>
      </c>
      <c r="E18" s="70">
        <f t="shared" ref="E18:O18" si="12">CEILING(E4:P4/100*13,0.5)</f>
        <v>85.5</v>
      </c>
      <c r="F18" s="60">
        <f t="shared" si="12"/>
        <v>88.5</v>
      </c>
      <c r="G18" s="70">
        <f t="shared" si="12"/>
        <v>94.5</v>
      </c>
      <c r="H18" s="60">
        <f t="shared" si="12"/>
        <v>99</v>
      </c>
      <c r="I18" s="70">
        <f t="shared" si="12"/>
        <v>105.5</v>
      </c>
      <c r="J18" s="60">
        <f t="shared" si="12"/>
        <v>108</v>
      </c>
      <c r="K18" s="70">
        <f t="shared" si="12"/>
        <v>115</v>
      </c>
      <c r="L18" s="69">
        <f t="shared" si="12"/>
        <v>121</v>
      </c>
      <c r="M18" s="70">
        <f t="shared" si="12"/>
        <v>129</v>
      </c>
      <c r="N18" s="60">
        <f t="shared" si="12"/>
        <v>135.5</v>
      </c>
      <c r="O18" s="70">
        <f t="shared" si="12"/>
        <v>144.5</v>
      </c>
      <c r="P18" s="8">
        <v>13</v>
      </c>
      <c r="Q18" s="139">
        <v>13</v>
      </c>
    </row>
    <row r="19" spans="2:17" ht="33.75" x14ac:dyDescent="0.65">
      <c r="B19" s="366">
        <v>14</v>
      </c>
      <c r="C19" s="3">
        <v>14</v>
      </c>
      <c r="D19" s="69">
        <f>CEILING(D4:O4/100*14,0.5)</f>
        <v>86</v>
      </c>
      <c r="E19" s="70">
        <f t="shared" ref="E19:O19" si="13">CEILING(E4:P4/100*14,0.5)</f>
        <v>92</v>
      </c>
      <c r="F19" s="60">
        <f t="shared" si="13"/>
        <v>95</v>
      </c>
      <c r="G19" s="70">
        <f t="shared" si="13"/>
        <v>101.5</v>
      </c>
      <c r="H19" s="60">
        <f t="shared" si="13"/>
        <v>106.5</v>
      </c>
      <c r="I19" s="70">
        <f t="shared" si="13"/>
        <v>113.5</v>
      </c>
      <c r="J19" s="60">
        <f t="shared" si="13"/>
        <v>116</v>
      </c>
      <c r="K19" s="70">
        <f t="shared" si="13"/>
        <v>124</v>
      </c>
      <c r="L19" s="69">
        <f t="shared" si="13"/>
        <v>130</v>
      </c>
      <c r="M19" s="70">
        <f t="shared" si="13"/>
        <v>139</v>
      </c>
      <c r="N19" s="60">
        <f t="shared" si="13"/>
        <v>145.5</v>
      </c>
      <c r="O19" s="70">
        <f t="shared" si="13"/>
        <v>155.5</v>
      </c>
      <c r="P19" s="8">
        <v>14</v>
      </c>
      <c r="Q19" s="139">
        <v>14</v>
      </c>
    </row>
    <row r="20" spans="2:17" ht="33.75" x14ac:dyDescent="0.65">
      <c r="B20" s="366">
        <v>15</v>
      </c>
      <c r="C20" s="3">
        <v>15</v>
      </c>
      <c r="D20" s="69">
        <f>CEILING(D4:O4/100*15,0.5)</f>
        <v>92</v>
      </c>
      <c r="E20" s="70">
        <f t="shared" ref="E20:N20" si="14">CEILING(E4:P4/100*15,0.5)</f>
        <v>98.5</v>
      </c>
      <c r="F20" s="60">
        <f t="shared" si="14"/>
        <v>102</v>
      </c>
      <c r="G20" s="70">
        <f t="shared" si="14"/>
        <v>109</v>
      </c>
      <c r="H20" s="60">
        <f t="shared" si="14"/>
        <v>114</v>
      </c>
      <c r="I20" s="70">
        <f t="shared" si="14"/>
        <v>122</v>
      </c>
      <c r="J20" s="60">
        <f t="shared" si="14"/>
        <v>124.5</v>
      </c>
      <c r="K20" s="70">
        <f t="shared" si="14"/>
        <v>133</v>
      </c>
      <c r="L20" s="69">
        <f t="shared" si="14"/>
        <v>139.5</v>
      </c>
      <c r="M20" s="70">
        <f t="shared" si="14"/>
        <v>148.5</v>
      </c>
      <c r="N20" s="60">
        <f t="shared" si="14"/>
        <v>156</v>
      </c>
      <c r="O20" s="70">
        <f>CEILING(O4:Z4/100*15,0.5)</f>
        <v>166.5</v>
      </c>
      <c r="P20" s="8">
        <v>15</v>
      </c>
      <c r="Q20" s="139">
        <v>15</v>
      </c>
    </row>
    <row r="21" spans="2:17" ht="33.75" x14ac:dyDescent="0.65">
      <c r="B21" s="367">
        <v>16</v>
      </c>
      <c r="C21" s="4">
        <v>16</v>
      </c>
      <c r="D21" s="71">
        <f>CEILING(D4:O4/100*16,0.5)</f>
        <v>98</v>
      </c>
      <c r="E21" s="79">
        <f t="shared" ref="E21:O21" si="15">CEILING(E4:P4/100*16,0.5)</f>
        <v>105</v>
      </c>
      <c r="F21" s="61">
        <f t="shared" si="15"/>
        <v>109</v>
      </c>
      <c r="G21" s="79">
        <f t="shared" si="15"/>
        <v>116</v>
      </c>
      <c r="H21" s="61">
        <f t="shared" si="15"/>
        <v>121.5</v>
      </c>
      <c r="I21" s="79">
        <f t="shared" si="15"/>
        <v>130</v>
      </c>
      <c r="J21" s="61">
        <f t="shared" si="15"/>
        <v>133</v>
      </c>
      <c r="K21" s="79">
        <f t="shared" si="15"/>
        <v>141.5</v>
      </c>
      <c r="L21" s="71">
        <f t="shared" si="15"/>
        <v>148.5</v>
      </c>
      <c r="M21" s="79">
        <f t="shared" si="15"/>
        <v>158.5</v>
      </c>
      <c r="N21" s="61">
        <f t="shared" si="15"/>
        <v>166.5</v>
      </c>
      <c r="O21" s="79">
        <f t="shared" si="15"/>
        <v>177.5</v>
      </c>
      <c r="P21" s="9">
        <v>16</v>
      </c>
      <c r="Q21" s="140">
        <v>16</v>
      </c>
    </row>
    <row r="22" spans="2:17" ht="33.75" x14ac:dyDescent="0.65">
      <c r="B22" s="366">
        <v>17</v>
      </c>
      <c r="C22" s="3">
        <v>16.5</v>
      </c>
      <c r="D22" s="69">
        <f>CEILING(D4:O4/100*16.5,0.5)</f>
        <v>101.5</v>
      </c>
      <c r="E22" s="70">
        <f t="shared" ref="E22:O22" si="16">CEILING(E4:P4/100*16.5,0.5)</f>
        <v>108.5</v>
      </c>
      <c r="F22" s="60">
        <f t="shared" si="16"/>
        <v>112</v>
      </c>
      <c r="G22" s="70">
        <f t="shared" si="16"/>
        <v>119.5</v>
      </c>
      <c r="H22" s="60">
        <f t="shared" si="16"/>
        <v>125.5</v>
      </c>
      <c r="I22" s="70">
        <f t="shared" si="16"/>
        <v>134</v>
      </c>
      <c r="J22" s="60">
        <f t="shared" si="16"/>
        <v>137</v>
      </c>
      <c r="K22" s="70">
        <f t="shared" si="16"/>
        <v>146</v>
      </c>
      <c r="L22" s="69">
        <f t="shared" si="16"/>
        <v>153.5</v>
      </c>
      <c r="M22" s="70">
        <f t="shared" si="16"/>
        <v>163.5</v>
      </c>
      <c r="N22" s="60">
        <f t="shared" si="16"/>
        <v>171.5</v>
      </c>
      <c r="O22" s="70">
        <f t="shared" si="16"/>
        <v>183</v>
      </c>
      <c r="P22" s="8">
        <v>17</v>
      </c>
      <c r="Q22" s="139">
        <v>16.5</v>
      </c>
    </row>
    <row r="23" spans="2:17" ht="33.75" x14ac:dyDescent="0.65">
      <c r="B23" s="366">
        <v>18</v>
      </c>
      <c r="C23" s="3">
        <v>17</v>
      </c>
      <c r="D23" s="69">
        <f>CEILING(D4:O4/100*17,0.5)</f>
        <v>104.5</v>
      </c>
      <c r="E23" s="70">
        <f t="shared" ref="E23:O23" si="17">CEILING(E4:P4/100*17,0.5)</f>
        <v>111.5</v>
      </c>
      <c r="F23" s="60">
        <f t="shared" si="17"/>
        <v>115.5</v>
      </c>
      <c r="G23" s="70">
        <f t="shared" si="17"/>
        <v>123.5</v>
      </c>
      <c r="H23" s="60">
        <f t="shared" si="17"/>
        <v>129.5</v>
      </c>
      <c r="I23" s="70">
        <f t="shared" si="17"/>
        <v>138</v>
      </c>
      <c r="J23" s="60">
        <f t="shared" si="17"/>
        <v>141</v>
      </c>
      <c r="K23" s="70">
        <f t="shared" si="17"/>
        <v>150.5</v>
      </c>
      <c r="L23" s="69">
        <f t="shared" si="17"/>
        <v>158</v>
      </c>
      <c r="M23" s="70">
        <f t="shared" si="17"/>
        <v>168.5</v>
      </c>
      <c r="N23" s="60">
        <f t="shared" si="17"/>
        <v>177</v>
      </c>
      <c r="O23" s="70">
        <f t="shared" si="17"/>
        <v>189</v>
      </c>
      <c r="P23" s="8">
        <v>18</v>
      </c>
      <c r="Q23" s="139">
        <v>17</v>
      </c>
    </row>
    <row r="24" spans="2:17" ht="33.75" x14ac:dyDescent="0.65">
      <c r="B24" s="366">
        <v>19</v>
      </c>
      <c r="C24" s="3">
        <v>17.5</v>
      </c>
      <c r="D24" s="69">
        <f>CEILING(D4:O4/100*17.5,0.5)</f>
        <v>107.5</v>
      </c>
      <c r="E24" s="70">
        <f t="shared" ref="E24:O24" si="18">CEILING(E4:P4/100*17.5,0.5)</f>
        <v>115</v>
      </c>
      <c r="F24" s="60">
        <f t="shared" si="18"/>
        <v>119</v>
      </c>
      <c r="G24" s="70">
        <f t="shared" si="18"/>
        <v>127</v>
      </c>
      <c r="H24" s="60">
        <f t="shared" si="18"/>
        <v>133</v>
      </c>
      <c r="I24" s="70">
        <f t="shared" si="18"/>
        <v>142</v>
      </c>
      <c r="J24" s="60">
        <f t="shared" si="18"/>
        <v>145</v>
      </c>
      <c r="K24" s="70">
        <f t="shared" si="18"/>
        <v>155</v>
      </c>
      <c r="L24" s="69">
        <f t="shared" si="18"/>
        <v>162.5</v>
      </c>
      <c r="M24" s="70">
        <f t="shared" si="18"/>
        <v>173.5</v>
      </c>
      <c r="N24" s="60">
        <f t="shared" si="18"/>
        <v>182</v>
      </c>
      <c r="O24" s="70">
        <f t="shared" si="18"/>
        <v>194.5</v>
      </c>
      <c r="P24" s="8">
        <v>19</v>
      </c>
      <c r="Q24" s="139">
        <v>17.5</v>
      </c>
    </row>
    <row r="25" spans="2:17" ht="33.75" x14ac:dyDescent="0.65">
      <c r="B25" s="366">
        <v>20</v>
      </c>
      <c r="C25" s="3">
        <v>18</v>
      </c>
      <c r="D25" s="69">
        <f>CEILING(D4:O4/100*18,0.5)</f>
        <v>110.5</v>
      </c>
      <c r="E25" s="70">
        <f t="shared" ref="E25:O25" si="19">CEILING(E4:P4/100*18,0.5)</f>
        <v>118</v>
      </c>
      <c r="F25" s="60">
        <f t="shared" si="19"/>
        <v>122.5</v>
      </c>
      <c r="G25" s="70">
        <f t="shared" si="19"/>
        <v>130.5</v>
      </c>
      <c r="H25" s="60">
        <f t="shared" si="19"/>
        <v>137</v>
      </c>
      <c r="I25" s="70">
        <f t="shared" si="19"/>
        <v>146</v>
      </c>
      <c r="J25" s="60">
        <f t="shared" si="19"/>
        <v>149.5</v>
      </c>
      <c r="K25" s="70">
        <f t="shared" si="19"/>
        <v>159.5</v>
      </c>
      <c r="L25" s="69">
        <f t="shared" si="19"/>
        <v>167</v>
      </c>
      <c r="M25" s="70">
        <f t="shared" si="19"/>
        <v>178.5</v>
      </c>
      <c r="N25" s="60">
        <f t="shared" si="19"/>
        <v>187</v>
      </c>
      <c r="O25" s="70">
        <f t="shared" si="19"/>
        <v>200</v>
      </c>
      <c r="P25" s="8">
        <v>20</v>
      </c>
      <c r="Q25" s="139">
        <v>18</v>
      </c>
    </row>
    <row r="26" spans="2:17" ht="33.75" x14ac:dyDescent="0.65">
      <c r="B26" s="366">
        <v>21</v>
      </c>
      <c r="C26" s="3">
        <v>18.5</v>
      </c>
      <c r="D26" s="69">
        <f>CEILING(D4:O4/100*18.5,0.5)</f>
        <v>113.5</v>
      </c>
      <c r="E26" s="70">
        <f t="shared" ref="E26:N26" si="20">CEILING(E4:P4/100*18.5,0.5)</f>
        <v>121.5</v>
      </c>
      <c r="F26" s="60">
        <f t="shared" si="20"/>
        <v>126</v>
      </c>
      <c r="G26" s="70">
        <f t="shared" si="20"/>
        <v>134</v>
      </c>
      <c r="H26" s="60">
        <f t="shared" si="20"/>
        <v>140.5</v>
      </c>
      <c r="I26" s="70">
        <f t="shared" si="20"/>
        <v>150</v>
      </c>
      <c r="J26" s="60">
        <f t="shared" si="20"/>
        <v>153.5</v>
      </c>
      <c r="K26" s="70">
        <f t="shared" si="20"/>
        <v>163.5</v>
      </c>
      <c r="L26" s="69">
        <f t="shared" si="20"/>
        <v>172</v>
      </c>
      <c r="M26" s="70">
        <f t="shared" si="20"/>
        <v>183.5</v>
      </c>
      <c r="N26" s="60">
        <f t="shared" si="20"/>
        <v>192.5</v>
      </c>
      <c r="O26" s="70">
        <f>CEILING(O4:Z4/100*18.5,0.5)</f>
        <v>205.5</v>
      </c>
      <c r="P26" s="8">
        <v>21</v>
      </c>
      <c r="Q26" s="139">
        <v>18.5</v>
      </c>
    </row>
    <row r="27" spans="2:17" ht="33.75" x14ac:dyDescent="0.65">
      <c r="B27" s="366">
        <v>22</v>
      </c>
      <c r="C27" s="3">
        <v>19</v>
      </c>
      <c r="D27" s="69">
        <f>CEILING(D4:O4/100*19,0.5)</f>
        <v>116.5</v>
      </c>
      <c r="E27" s="70">
        <f t="shared" ref="E27:O27" si="21">CEILING(E4:P4/100*19,0.5)</f>
        <v>125</v>
      </c>
      <c r="F27" s="60">
        <f t="shared" si="21"/>
        <v>129</v>
      </c>
      <c r="G27" s="70">
        <f t="shared" si="21"/>
        <v>138</v>
      </c>
      <c r="H27" s="60">
        <f t="shared" si="21"/>
        <v>144.5</v>
      </c>
      <c r="I27" s="70">
        <f t="shared" si="21"/>
        <v>154</v>
      </c>
      <c r="J27" s="60">
        <f t="shared" si="21"/>
        <v>157.5</v>
      </c>
      <c r="K27" s="70">
        <f t="shared" si="21"/>
        <v>168</v>
      </c>
      <c r="L27" s="69">
        <f t="shared" si="21"/>
        <v>176.5</v>
      </c>
      <c r="M27" s="70">
        <f t="shared" si="21"/>
        <v>188.5</v>
      </c>
      <c r="N27" s="60">
        <f t="shared" si="21"/>
        <v>197.5</v>
      </c>
      <c r="O27" s="70">
        <f t="shared" si="21"/>
        <v>211</v>
      </c>
      <c r="P27" s="8">
        <v>22</v>
      </c>
      <c r="Q27" s="139">
        <v>19</v>
      </c>
    </row>
    <row r="28" spans="2:17" ht="33.75" x14ac:dyDescent="0.65">
      <c r="B28" s="366">
        <v>23</v>
      </c>
      <c r="C28" s="3">
        <v>19.5</v>
      </c>
      <c r="D28" s="69">
        <f>CEILING(D4:O4/100*19.5,0.5)</f>
        <v>119.5</v>
      </c>
      <c r="E28" s="70">
        <f t="shared" ref="E28:M28" si="22">CEILING(E4:P4/100*19.5,0.5)</f>
        <v>128</v>
      </c>
      <c r="F28" s="60">
        <f t="shared" si="22"/>
        <v>132.5</v>
      </c>
      <c r="G28" s="70">
        <f t="shared" si="22"/>
        <v>141.5</v>
      </c>
      <c r="H28" s="60">
        <f t="shared" si="22"/>
        <v>148.5</v>
      </c>
      <c r="I28" s="70">
        <f t="shared" si="22"/>
        <v>158.5</v>
      </c>
      <c r="J28" s="60">
        <f t="shared" si="22"/>
        <v>162</v>
      </c>
      <c r="K28" s="70">
        <f t="shared" si="22"/>
        <v>172.5</v>
      </c>
      <c r="L28" s="69">
        <f t="shared" si="22"/>
        <v>181</v>
      </c>
      <c r="M28" s="70">
        <f t="shared" si="22"/>
        <v>193.5</v>
      </c>
      <c r="N28" s="60">
        <f>CEILING(N4:Y4/100*19.5,0.5)</f>
        <v>203</v>
      </c>
      <c r="O28" s="70">
        <f>CEILING(O4:Z4/100*19.5,0.5)</f>
        <v>216.5</v>
      </c>
      <c r="P28" s="8">
        <v>23</v>
      </c>
      <c r="Q28" s="139">
        <v>19.5</v>
      </c>
    </row>
    <row r="29" spans="2:17" ht="33.75" x14ac:dyDescent="0.65">
      <c r="B29" s="366">
        <v>24</v>
      </c>
      <c r="C29" s="3">
        <v>20</v>
      </c>
      <c r="D29" s="69">
        <f>CEILING(D4:O4/100*20,0.5)</f>
        <v>122.5</v>
      </c>
      <c r="E29" s="70">
        <f t="shared" ref="E29:O29" si="23">CEILING(E4:P4/100*20,0.5)</f>
        <v>131.5</v>
      </c>
      <c r="F29" s="60">
        <f t="shared" si="23"/>
        <v>136</v>
      </c>
      <c r="G29" s="70">
        <f t="shared" si="23"/>
        <v>145</v>
      </c>
      <c r="H29" s="60">
        <f t="shared" si="23"/>
        <v>152</v>
      </c>
      <c r="I29" s="70">
        <f t="shared" si="23"/>
        <v>162.5</v>
      </c>
      <c r="J29" s="60">
        <f t="shared" si="23"/>
        <v>166</v>
      </c>
      <c r="K29" s="70">
        <f t="shared" si="23"/>
        <v>177</v>
      </c>
      <c r="L29" s="69">
        <f t="shared" si="23"/>
        <v>185.5</v>
      </c>
      <c r="M29" s="70">
        <f t="shared" si="23"/>
        <v>198</v>
      </c>
      <c r="N29" s="60">
        <f t="shared" si="23"/>
        <v>208</v>
      </c>
      <c r="O29" s="70">
        <f t="shared" si="23"/>
        <v>222</v>
      </c>
      <c r="P29" s="8">
        <v>24</v>
      </c>
      <c r="Q29" s="139">
        <v>20</v>
      </c>
    </row>
    <row r="30" spans="2:17" ht="33.75" x14ac:dyDescent="0.65">
      <c r="B30" s="366">
        <v>25</v>
      </c>
      <c r="C30" s="3">
        <v>20.5</v>
      </c>
      <c r="D30" s="69">
        <f>CEILING(D4:O4/100*20.5,0.5)</f>
        <v>126</v>
      </c>
      <c r="E30" s="70">
        <f t="shared" ref="E30:O30" si="24">CEILING(E4:P4/100*20.5,0.5)</f>
        <v>134.5</v>
      </c>
      <c r="F30" s="60">
        <f t="shared" si="24"/>
        <v>139.5</v>
      </c>
      <c r="G30" s="70">
        <f t="shared" si="24"/>
        <v>148.5</v>
      </c>
      <c r="H30" s="60">
        <f t="shared" si="24"/>
        <v>156</v>
      </c>
      <c r="I30" s="70">
        <f t="shared" si="24"/>
        <v>166.5</v>
      </c>
      <c r="J30" s="60">
        <f t="shared" si="24"/>
        <v>170</v>
      </c>
      <c r="K30" s="70">
        <f t="shared" si="24"/>
        <v>181.5</v>
      </c>
      <c r="L30" s="69">
        <f t="shared" si="24"/>
        <v>190.5</v>
      </c>
      <c r="M30" s="70">
        <f t="shared" si="24"/>
        <v>203</v>
      </c>
      <c r="N30" s="60">
        <f t="shared" si="24"/>
        <v>213</v>
      </c>
      <c r="O30" s="70">
        <f t="shared" si="24"/>
        <v>227.5</v>
      </c>
      <c r="P30" s="8">
        <v>25</v>
      </c>
      <c r="Q30" s="139">
        <v>20.5</v>
      </c>
    </row>
    <row r="31" spans="2:17" ht="33.75" x14ac:dyDescent="0.65">
      <c r="B31" s="366">
        <v>26</v>
      </c>
      <c r="C31" s="3">
        <v>21</v>
      </c>
      <c r="D31" s="69">
        <f>CEILING(D4:O4/100*21,0.5)</f>
        <v>129</v>
      </c>
      <c r="E31" s="70">
        <f t="shared" ref="E31:O31" si="25">CEILING(E4:P4/100*21,0.5)</f>
        <v>138</v>
      </c>
      <c r="F31" s="60">
        <f t="shared" si="25"/>
        <v>142.5</v>
      </c>
      <c r="G31" s="70">
        <f t="shared" si="25"/>
        <v>152.5</v>
      </c>
      <c r="H31" s="60">
        <f t="shared" si="25"/>
        <v>159.5</v>
      </c>
      <c r="I31" s="70">
        <f t="shared" si="25"/>
        <v>170.5</v>
      </c>
      <c r="J31" s="60">
        <f t="shared" si="25"/>
        <v>174</v>
      </c>
      <c r="K31" s="70">
        <f t="shared" si="25"/>
        <v>186</v>
      </c>
      <c r="L31" s="69">
        <f t="shared" si="25"/>
        <v>195</v>
      </c>
      <c r="M31" s="70">
        <f t="shared" si="25"/>
        <v>208</v>
      </c>
      <c r="N31" s="60">
        <f t="shared" si="25"/>
        <v>218.5</v>
      </c>
      <c r="O31" s="70">
        <f t="shared" si="25"/>
        <v>233</v>
      </c>
      <c r="P31" s="8">
        <v>26</v>
      </c>
      <c r="Q31" s="139">
        <v>21</v>
      </c>
    </row>
    <row r="32" spans="2:17" ht="33.75" x14ac:dyDescent="0.65">
      <c r="B32" s="366">
        <v>27</v>
      </c>
      <c r="C32" s="3">
        <v>21.5</v>
      </c>
      <c r="D32" s="69">
        <f>CEILING(D4:O4/100*21.5,0.5)</f>
        <v>132</v>
      </c>
      <c r="E32" s="70">
        <f t="shared" ref="E32:O32" si="26">CEILING(E4:P4/100*21.5,0.5)</f>
        <v>141</v>
      </c>
      <c r="F32" s="60">
        <f t="shared" si="26"/>
        <v>146</v>
      </c>
      <c r="G32" s="70">
        <f t="shared" si="26"/>
        <v>156</v>
      </c>
      <c r="H32" s="60">
        <f t="shared" si="26"/>
        <v>163.5</v>
      </c>
      <c r="I32" s="70">
        <f t="shared" si="26"/>
        <v>174.5</v>
      </c>
      <c r="J32" s="60">
        <f t="shared" si="26"/>
        <v>178.5</v>
      </c>
      <c r="K32" s="70">
        <f t="shared" si="26"/>
        <v>190</v>
      </c>
      <c r="L32" s="69">
        <f t="shared" si="26"/>
        <v>199.5</v>
      </c>
      <c r="M32" s="70">
        <f t="shared" si="26"/>
        <v>213</v>
      </c>
      <c r="N32" s="60">
        <f t="shared" si="26"/>
        <v>223.5</v>
      </c>
      <c r="O32" s="70">
        <f t="shared" si="26"/>
        <v>238.5</v>
      </c>
      <c r="P32" s="8">
        <v>27</v>
      </c>
      <c r="Q32" s="139">
        <v>21.5</v>
      </c>
    </row>
    <row r="33" spans="2:17" ht="33.75" x14ac:dyDescent="0.65">
      <c r="B33" s="366">
        <v>28</v>
      </c>
      <c r="C33" s="3">
        <v>22</v>
      </c>
      <c r="D33" s="69">
        <f>CEILING(D4:O4/100*22,0.5)</f>
        <v>135</v>
      </c>
      <c r="E33" s="70">
        <f t="shared" ref="E33:O33" si="27">CEILING(E4:P4/100*22,0.5)</f>
        <v>144.5</v>
      </c>
      <c r="F33" s="60">
        <f t="shared" si="27"/>
        <v>149.5</v>
      </c>
      <c r="G33" s="70">
        <f t="shared" si="27"/>
        <v>159.5</v>
      </c>
      <c r="H33" s="60">
        <f t="shared" si="27"/>
        <v>167</v>
      </c>
      <c r="I33" s="70">
        <f t="shared" si="27"/>
        <v>178.5</v>
      </c>
      <c r="J33" s="60">
        <f t="shared" si="27"/>
        <v>182.5</v>
      </c>
      <c r="K33" s="70">
        <f t="shared" si="27"/>
        <v>194.5</v>
      </c>
      <c r="L33" s="69">
        <f t="shared" si="27"/>
        <v>204.5</v>
      </c>
      <c r="M33" s="70">
        <f t="shared" si="27"/>
        <v>218</v>
      </c>
      <c r="N33" s="60">
        <f t="shared" si="27"/>
        <v>228.5</v>
      </c>
      <c r="O33" s="70">
        <f t="shared" si="27"/>
        <v>244</v>
      </c>
      <c r="P33" s="8">
        <v>28</v>
      </c>
      <c r="Q33" s="139">
        <v>22</v>
      </c>
    </row>
    <row r="34" spans="2:17" ht="33.75" x14ac:dyDescent="0.65">
      <c r="B34" s="366">
        <v>29</v>
      </c>
      <c r="C34" s="3">
        <v>22.5</v>
      </c>
      <c r="D34" s="69">
        <f>CEILING(D4:O4/100*22.5,0.5)</f>
        <v>138</v>
      </c>
      <c r="E34" s="70">
        <f t="shared" ref="E34:O34" si="28">CEILING(E4:P4/100*22.5,0.5)</f>
        <v>147.5</v>
      </c>
      <c r="F34" s="60">
        <f t="shared" si="28"/>
        <v>153</v>
      </c>
      <c r="G34" s="70">
        <f t="shared" si="28"/>
        <v>163</v>
      </c>
      <c r="H34" s="60">
        <f t="shared" si="28"/>
        <v>171</v>
      </c>
      <c r="I34" s="70">
        <f t="shared" si="28"/>
        <v>182.5</v>
      </c>
      <c r="J34" s="60">
        <f t="shared" si="28"/>
        <v>186.5</v>
      </c>
      <c r="K34" s="70">
        <f t="shared" si="28"/>
        <v>199</v>
      </c>
      <c r="L34" s="69">
        <f t="shared" si="28"/>
        <v>209</v>
      </c>
      <c r="M34" s="70">
        <f t="shared" si="28"/>
        <v>223</v>
      </c>
      <c r="N34" s="60">
        <f t="shared" si="28"/>
        <v>234</v>
      </c>
      <c r="O34" s="70">
        <f t="shared" si="28"/>
        <v>250</v>
      </c>
      <c r="P34" s="8">
        <v>29</v>
      </c>
      <c r="Q34" s="139">
        <v>22.5</v>
      </c>
    </row>
    <row r="35" spans="2:17" ht="33.75" x14ac:dyDescent="0.65">
      <c r="B35" s="366">
        <v>30</v>
      </c>
      <c r="C35" s="3">
        <v>23</v>
      </c>
      <c r="D35" s="69">
        <f>CEILING(D4:O4/100*23,0.5)</f>
        <v>141</v>
      </c>
      <c r="E35" s="70">
        <f t="shared" ref="E35:O35" si="29">CEILING(E4:P4/100*23,0.5)</f>
        <v>151</v>
      </c>
      <c r="F35" s="60">
        <f t="shared" si="29"/>
        <v>156.5</v>
      </c>
      <c r="G35" s="70">
        <f t="shared" si="29"/>
        <v>167</v>
      </c>
      <c r="H35" s="60">
        <f t="shared" si="29"/>
        <v>175</v>
      </c>
      <c r="I35" s="70">
        <f t="shared" si="29"/>
        <v>186.5</v>
      </c>
      <c r="J35" s="60">
        <f t="shared" si="29"/>
        <v>191</v>
      </c>
      <c r="K35" s="70">
        <f t="shared" si="29"/>
        <v>203.5</v>
      </c>
      <c r="L35" s="69">
        <f t="shared" si="29"/>
        <v>213.5</v>
      </c>
      <c r="M35" s="70">
        <f t="shared" si="29"/>
        <v>228</v>
      </c>
      <c r="N35" s="60">
        <f t="shared" si="29"/>
        <v>239</v>
      </c>
      <c r="O35" s="70">
        <f t="shared" si="29"/>
        <v>255.5</v>
      </c>
      <c r="P35" s="8">
        <v>30</v>
      </c>
      <c r="Q35" s="139">
        <v>23</v>
      </c>
    </row>
    <row r="36" spans="2:17" ht="33.75" x14ac:dyDescent="0.65">
      <c r="B36" s="366">
        <v>31</v>
      </c>
      <c r="C36" s="3">
        <v>23.5</v>
      </c>
      <c r="D36" s="69">
        <f>CEILING(D4:O4/100*23.5,0.5)</f>
        <v>144</v>
      </c>
      <c r="E36" s="70">
        <f t="shared" ref="E36:O36" si="30">CEILING(E4:P4/100*23.5,0.5)</f>
        <v>154.5</v>
      </c>
      <c r="F36" s="60">
        <f t="shared" si="30"/>
        <v>159.5</v>
      </c>
      <c r="G36" s="70">
        <f t="shared" si="30"/>
        <v>170.5</v>
      </c>
      <c r="H36" s="60">
        <f t="shared" si="30"/>
        <v>178.5</v>
      </c>
      <c r="I36" s="70">
        <f t="shared" si="30"/>
        <v>190.5</v>
      </c>
      <c r="J36" s="60">
        <f t="shared" si="30"/>
        <v>195</v>
      </c>
      <c r="K36" s="70">
        <f t="shared" si="30"/>
        <v>208</v>
      </c>
      <c r="L36" s="69">
        <f t="shared" si="30"/>
        <v>218</v>
      </c>
      <c r="M36" s="70">
        <f t="shared" si="30"/>
        <v>233</v>
      </c>
      <c r="N36" s="60">
        <f t="shared" si="30"/>
        <v>244.5</v>
      </c>
      <c r="O36" s="70">
        <f t="shared" si="30"/>
        <v>261</v>
      </c>
      <c r="P36" s="8">
        <v>31</v>
      </c>
      <c r="Q36" s="139">
        <v>23.5</v>
      </c>
    </row>
    <row r="37" spans="2:17" ht="33.75" x14ac:dyDescent="0.65">
      <c r="B37" s="368">
        <v>32</v>
      </c>
      <c r="C37" s="5">
        <v>24</v>
      </c>
      <c r="D37" s="69">
        <f>CEILING(D4:O4/100*24,0.5)</f>
        <v>147</v>
      </c>
      <c r="E37" s="70">
        <f t="shared" ref="E37:O37" si="31">CEILING(E4:P4/100*24,0.5)</f>
        <v>157.5</v>
      </c>
      <c r="F37" s="60">
        <f t="shared" si="31"/>
        <v>163</v>
      </c>
      <c r="G37" s="70">
        <f t="shared" si="31"/>
        <v>174</v>
      </c>
      <c r="H37" s="60">
        <f t="shared" si="31"/>
        <v>182.5</v>
      </c>
      <c r="I37" s="70">
        <f t="shared" si="31"/>
        <v>195</v>
      </c>
      <c r="J37" s="60">
        <f t="shared" si="31"/>
        <v>199</v>
      </c>
      <c r="K37" s="70">
        <f t="shared" si="31"/>
        <v>212.5</v>
      </c>
      <c r="L37" s="69">
        <f t="shared" si="31"/>
        <v>223</v>
      </c>
      <c r="M37" s="70">
        <f t="shared" si="31"/>
        <v>238</v>
      </c>
      <c r="N37" s="60">
        <f t="shared" si="31"/>
        <v>249.5</v>
      </c>
      <c r="O37" s="70">
        <f t="shared" si="31"/>
        <v>266.5</v>
      </c>
      <c r="P37" s="10">
        <v>32</v>
      </c>
      <c r="Q37" s="141">
        <v>24</v>
      </c>
    </row>
    <row r="38" spans="2:17" ht="33.75" x14ac:dyDescent="0.65">
      <c r="B38" s="369">
        <v>33</v>
      </c>
      <c r="C38" s="6">
        <v>24.5</v>
      </c>
      <c r="D38" s="72">
        <f>CEILING(D4:O4/100*24.5,0.5)</f>
        <v>150.5</v>
      </c>
      <c r="E38" s="80">
        <f t="shared" ref="E38:O38" si="32">CEILING(E4:P4/100*24.5,0.5)</f>
        <v>161</v>
      </c>
      <c r="F38" s="62">
        <f t="shared" si="32"/>
        <v>166.5</v>
      </c>
      <c r="G38" s="80">
        <f t="shared" si="32"/>
        <v>177.5</v>
      </c>
      <c r="H38" s="62">
        <f t="shared" si="32"/>
        <v>186</v>
      </c>
      <c r="I38" s="80">
        <f t="shared" si="32"/>
        <v>199</v>
      </c>
      <c r="J38" s="62">
        <f t="shared" si="32"/>
        <v>203</v>
      </c>
      <c r="K38" s="80">
        <f t="shared" si="32"/>
        <v>216.5</v>
      </c>
      <c r="L38" s="72">
        <f t="shared" si="32"/>
        <v>227.5</v>
      </c>
      <c r="M38" s="80">
        <f t="shared" si="32"/>
        <v>243</v>
      </c>
      <c r="N38" s="62">
        <f t="shared" si="32"/>
        <v>254.5</v>
      </c>
      <c r="O38" s="80">
        <f t="shared" si="32"/>
        <v>272</v>
      </c>
      <c r="P38" s="11">
        <v>33</v>
      </c>
      <c r="Q38" s="142">
        <v>24.5</v>
      </c>
    </row>
    <row r="39" spans="2:17" ht="33.75" x14ac:dyDescent="0.65">
      <c r="B39" s="366">
        <v>34</v>
      </c>
      <c r="C39" s="7">
        <v>25</v>
      </c>
      <c r="D39" s="69">
        <f>CEILING(D4:O4/100*25,0.5)</f>
        <v>153.5</v>
      </c>
      <c r="E39" s="70">
        <f t="shared" ref="E39:O39" si="33">CEILING(E4:P4/100*25,0.5)</f>
        <v>164</v>
      </c>
      <c r="F39" s="60">
        <f t="shared" si="33"/>
        <v>170</v>
      </c>
      <c r="G39" s="70">
        <f t="shared" si="33"/>
        <v>181</v>
      </c>
      <c r="H39" s="60">
        <f t="shared" si="33"/>
        <v>190</v>
      </c>
      <c r="I39" s="70">
        <f t="shared" si="33"/>
        <v>203</v>
      </c>
      <c r="J39" s="60">
        <f t="shared" si="33"/>
        <v>207.5</v>
      </c>
      <c r="K39" s="70">
        <f t="shared" si="33"/>
        <v>221</v>
      </c>
      <c r="L39" s="69">
        <f t="shared" si="33"/>
        <v>232</v>
      </c>
      <c r="M39" s="70">
        <f t="shared" si="33"/>
        <v>247.5</v>
      </c>
      <c r="N39" s="60">
        <f t="shared" si="33"/>
        <v>260</v>
      </c>
      <c r="O39" s="70">
        <f t="shared" si="33"/>
        <v>277.5</v>
      </c>
      <c r="P39" s="8">
        <v>34</v>
      </c>
      <c r="Q39" s="143">
        <v>25</v>
      </c>
    </row>
    <row r="40" spans="2:17" ht="33.75" x14ac:dyDescent="0.65">
      <c r="B40" s="366">
        <v>35</v>
      </c>
      <c r="C40" s="7">
        <v>25.5</v>
      </c>
      <c r="D40" s="69">
        <f>CEILING(D4:O4/100*25.5,0.5)</f>
        <v>156.5</v>
      </c>
      <c r="E40" s="70">
        <f t="shared" ref="E40:O40" si="34">CEILING(E4:P4/100*25.5,0.5)</f>
        <v>167.5</v>
      </c>
      <c r="F40" s="60">
        <f t="shared" si="34"/>
        <v>173.5</v>
      </c>
      <c r="G40" s="70">
        <f t="shared" si="34"/>
        <v>185</v>
      </c>
      <c r="H40" s="60">
        <f t="shared" si="34"/>
        <v>194</v>
      </c>
      <c r="I40" s="70">
        <f t="shared" si="34"/>
        <v>207</v>
      </c>
      <c r="J40" s="60">
        <f t="shared" si="34"/>
        <v>211.5</v>
      </c>
      <c r="K40" s="70">
        <f t="shared" si="34"/>
        <v>225.5</v>
      </c>
      <c r="L40" s="69">
        <f t="shared" si="34"/>
        <v>237</v>
      </c>
      <c r="M40" s="70">
        <f t="shared" si="34"/>
        <v>252.5</v>
      </c>
      <c r="N40" s="60">
        <f t="shared" si="34"/>
        <v>265</v>
      </c>
      <c r="O40" s="70">
        <f t="shared" si="34"/>
        <v>283</v>
      </c>
      <c r="P40" s="8">
        <v>35</v>
      </c>
      <c r="Q40" s="143">
        <v>25.5</v>
      </c>
    </row>
    <row r="41" spans="2:17" ht="33.75" x14ac:dyDescent="0.65">
      <c r="B41" s="366">
        <v>36</v>
      </c>
      <c r="C41" s="7">
        <v>26</v>
      </c>
      <c r="D41" s="69">
        <f>CEILING(D4:O4/100*26,0.5)</f>
        <v>159.5</v>
      </c>
      <c r="E41" s="70">
        <f t="shared" ref="E41:O41" si="35">CEILING(E4:P4/100*26,0.5)</f>
        <v>170.5</v>
      </c>
      <c r="F41" s="60">
        <f t="shared" si="35"/>
        <v>176.5</v>
      </c>
      <c r="G41" s="70">
        <f t="shared" si="35"/>
        <v>188.5</v>
      </c>
      <c r="H41" s="60">
        <f t="shared" si="35"/>
        <v>197.5</v>
      </c>
      <c r="I41" s="70">
        <f t="shared" si="35"/>
        <v>211</v>
      </c>
      <c r="J41" s="60">
        <f t="shared" si="35"/>
        <v>215.5</v>
      </c>
      <c r="K41" s="70">
        <f t="shared" si="35"/>
        <v>230</v>
      </c>
      <c r="L41" s="69">
        <f t="shared" si="35"/>
        <v>241.5</v>
      </c>
      <c r="M41" s="70">
        <f t="shared" si="35"/>
        <v>257.5</v>
      </c>
      <c r="N41" s="60">
        <f t="shared" si="35"/>
        <v>270.5</v>
      </c>
      <c r="O41" s="70">
        <f t="shared" si="35"/>
        <v>288.5</v>
      </c>
      <c r="P41" s="8">
        <v>36</v>
      </c>
      <c r="Q41" s="143">
        <v>26</v>
      </c>
    </row>
    <row r="42" spans="2:17" ht="33.75" x14ac:dyDescent="0.65">
      <c r="B42" s="370">
        <v>37</v>
      </c>
      <c r="C42" s="153">
        <v>26.5</v>
      </c>
      <c r="D42" s="69">
        <f>CEILING(D4:O4/100*26.5,0.5)</f>
        <v>162.5</v>
      </c>
      <c r="E42" s="70">
        <f t="shared" ref="E42:O42" si="36">CEILING(E4:P4/100*26.5,0.5)</f>
        <v>174</v>
      </c>
      <c r="F42" s="60">
        <f t="shared" si="36"/>
        <v>180</v>
      </c>
      <c r="G42" s="70">
        <f t="shared" si="36"/>
        <v>192</v>
      </c>
      <c r="H42" s="60">
        <f t="shared" si="36"/>
        <v>201.5</v>
      </c>
      <c r="I42" s="70">
        <f t="shared" si="36"/>
        <v>215</v>
      </c>
      <c r="J42" s="60">
        <f t="shared" si="36"/>
        <v>220</v>
      </c>
      <c r="K42" s="70">
        <f t="shared" si="36"/>
        <v>234.5</v>
      </c>
      <c r="L42" s="69">
        <f t="shared" si="36"/>
        <v>246</v>
      </c>
      <c r="M42" s="70">
        <f t="shared" si="36"/>
        <v>262.5</v>
      </c>
      <c r="N42" s="60">
        <f t="shared" si="36"/>
        <v>275.5</v>
      </c>
      <c r="O42" s="70">
        <f t="shared" si="36"/>
        <v>294</v>
      </c>
      <c r="P42" s="12">
        <v>37</v>
      </c>
      <c r="Q42" s="144">
        <v>26.5</v>
      </c>
    </row>
    <row r="43" spans="2:17" ht="33.75" x14ac:dyDescent="0.65">
      <c r="B43" s="370">
        <v>38</v>
      </c>
      <c r="C43" s="153">
        <v>27</v>
      </c>
      <c r="D43" s="69">
        <f>CEILING(D4:O4/100*27,0.5)</f>
        <v>165.5</v>
      </c>
      <c r="E43" s="70">
        <f t="shared" ref="E43:O43" si="37">CEILING(E4:P4/100*27,0.5)</f>
        <v>177</v>
      </c>
      <c r="F43" s="60">
        <f t="shared" si="37"/>
        <v>183.5</v>
      </c>
      <c r="G43" s="70">
        <f t="shared" si="37"/>
        <v>195.5</v>
      </c>
      <c r="H43" s="60">
        <f t="shared" si="37"/>
        <v>205</v>
      </c>
      <c r="I43" s="70">
        <f t="shared" si="37"/>
        <v>219</v>
      </c>
      <c r="J43" s="60">
        <f t="shared" si="37"/>
        <v>224</v>
      </c>
      <c r="K43" s="70">
        <f t="shared" si="37"/>
        <v>239</v>
      </c>
      <c r="L43" s="69">
        <f t="shared" si="37"/>
        <v>250.5</v>
      </c>
      <c r="M43" s="70">
        <f t="shared" si="37"/>
        <v>267.5</v>
      </c>
      <c r="N43" s="60">
        <f t="shared" si="37"/>
        <v>280.5</v>
      </c>
      <c r="O43" s="70">
        <f t="shared" si="37"/>
        <v>299.5</v>
      </c>
      <c r="P43" s="12">
        <v>38</v>
      </c>
      <c r="Q43" s="144">
        <v>27</v>
      </c>
    </row>
    <row r="44" spans="2:17" ht="33.75" x14ac:dyDescent="0.65">
      <c r="B44" s="370">
        <v>39</v>
      </c>
      <c r="C44" s="153">
        <v>27.5</v>
      </c>
      <c r="D44" s="69">
        <f>CEILING(D4:O4/100*27.5,0.5)</f>
        <v>168.5</v>
      </c>
      <c r="E44" s="70">
        <f t="shared" ref="E44:O44" si="38">CEILING(E4:P4/100*27.5,0.5)</f>
        <v>180.5</v>
      </c>
      <c r="F44" s="60">
        <f t="shared" si="38"/>
        <v>187</v>
      </c>
      <c r="G44" s="70">
        <f t="shared" si="38"/>
        <v>199.5</v>
      </c>
      <c r="H44" s="60">
        <f t="shared" si="38"/>
        <v>209</v>
      </c>
      <c r="I44" s="70">
        <f t="shared" si="38"/>
        <v>223</v>
      </c>
      <c r="J44" s="60">
        <f t="shared" si="38"/>
        <v>228</v>
      </c>
      <c r="K44" s="70">
        <f t="shared" si="38"/>
        <v>243</v>
      </c>
      <c r="L44" s="69">
        <f t="shared" si="38"/>
        <v>255.5</v>
      </c>
      <c r="M44" s="70">
        <f t="shared" si="38"/>
        <v>272.5</v>
      </c>
      <c r="N44" s="60">
        <f t="shared" si="38"/>
        <v>286</v>
      </c>
      <c r="O44" s="70">
        <f t="shared" si="38"/>
        <v>305</v>
      </c>
      <c r="P44" s="12">
        <v>39</v>
      </c>
      <c r="Q44" s="144">
        <v>27.5</v>
      </c>
    </row>
    <row r="45" spans="2:17" ht="34.5" thickBot="1" x14ac:dyDescent="0.7">
      <c r="B45" s="371">
        <v>40</v>
      </c>
      <c r="C45" s="372">
        <v>28</v>
      </c>
      <c r="D45" s="73">
        <f>CEILING(D4:O4/100*28,0.5)</f>
        <v>171.5</v>
      </c>
      <c r="E45" s="74">
        <f t="shared" ref="E45:O45" si="39">CEILING(E4:P4/100*28,0.5)</f>
        <v>184</v>
      </c>
      <c r="F45" s="75">
        <f t="shared" si="39"/>
        <v>190</v>
      </c>
      <c r="G45" s="74">
        <f t="shared" si="39"/>
        <v>203</v>
      </c>
      <c r="H45" s="75">
        <f t="shared" si="39"/>
        <v>213</v>
      </c>
      <c r="I45" s="74">
        <f t="shared" si="39"/>
        <v>227</v>
      </c>
      <c r="J45" s="75">
        <f t="shared" si="39"/>
        <v>232</v>
      </c>
      <c r="K45" s="74">
        <f t="shared" si="39"/>
        <v>247.5</v>
      </c>
      <c r="L45" s="73">
        <f t="shared" si="39"/>
        <v>260</v>
      </c>
      <c r="M45" s="74">
        <f t="shared" si="39"/>
        <v>277.5</v>
      </c>
      <c r="N45" s="75">
        <f t="shared" si="39"/>
        <v>291</v>
      </c>
      <c r="O45" s="74">
        <f t="shared" si="39"/>
        <v>311</v>
      </c>
      <c r="P45" s="145">
        <v>40</v>
      </c>
      <c r="Q45" s="146">
        <v>28</v>
      </c>
    </row>
    <row r="47" spans="2:17" x14ac:dyDescent="0.25">
      <c r="C47" t="s">
        <v>65</v>
      </c>
      <c r="D47" t="s">
        <v>66</v>
      </c>
    </row>
    <row r="48" spans="2:17" x14ac:dyDescent="0.25">
      <c r="D48" t="s">
        <v>67</v>
      </c>
    </row>
    <row r="49" spans="4:4" x14ac:dyDescent="0.25">
      <c r="D49" t="s">
        <v>68</v>
      </c>
    </row>
    <row r="50" spans="4:4" x14ac:dyDescent="0.25">
      <c r="D50" s="81">
        <v>43467</v>
      </c>
    </row>
  </sheetData>
  <mergeCells count="13">
    <mergeCell ref="P2:Q2"/>
    <mergeCell ref="P3:Q3"/>
    <mergeCell ref="P4:Q4"/>
    <mergeCell ref="N2:O2"/>
    <mergeCell ref="B3:C3"/>
    <mergeCell ref="B4:C4"/>
    <mergeCell ref="B1:O1"/>
    <mergeCell ref="B2:C2"/>
    <mergeCell ref="D2:E2"/>
    <mergeCell ref="F2:G2"/>
    <mergeCell ref="H2:I2"/>
    <mergeCell ref="J2:K2"/>
    <mergeCell ref="L2:M2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6"/>
  <sheetViews>
    <sheetView topLeftCell="C63" workbookViewId="0">
      <selection activeCell="B50" sqref="B50:N85"/>
    </sheetView>
  </sheetViews>
  <sheetFormatPr defaultRowHeight="15" x14ac:dyDescent="0.25"/>
  <cols>
    <col min="2" max="2" width="42.140625" customWidth="1"/>
    <col min="3" max="3" width="16.85546875" customWidth="1"/>
    <col min="4" max="7" width="16.7109375" customWidth="1"/>
    <col min="8" max="8" width="16.5703125" customWidth="1"/>
    <col min="9" max="10" width="16.85546875" customWidth="1"/>
    <col min="11" max="11" width="16.7109375" customWidth="1"/>
    <col min="12" max="12" width="17.140625" customWidth="1"/>
    <col min="13" max="13" width="16.42578125" customWidth="1"/>
    <col min="14" max="14" width="17.42578125" customWidth="1"/>
    <col min="21" max="21" width="22.7109375" customWidth="1"/>
  </cols>
  <sheetData>
    <row r="1" spans="2:21" ht="29.25" customHeight="1" x14ac:dyDescent="0.25">
      <c r="B1" s="271" t="s">
        <v>35</v>
      </c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3"/>
      <c r="P1" s="172"/>
      <c r="Q1" s="172"/>
      <c r="R1" s="172"/>
      <c r="S1" s="172"/>
      <c r="T1" s="172"/>
      <c r="U1" s="172"/>
    </row>
    <row r="2" spans="2:21" ht="27" customHeight="1" thickBot="1" x14ac:dyDescent="0.55000000000000004">
      <c r="B2" s="250" t="s">
        <v>9</v>
      </c>
      <c r="C2" s="251"/>
      <c r="D2" s="251"/>
      <c r="E2" s="251"/>
      <c r="F2" s="251"/>
      <c r="G2" s="251"/>
      <c r="H2" s="251"/>
      <c r="I2" s="251"/>
      <c r="J2" s="251"/>
      <c r="K2" s="253">
        <v>43466</v>
      </c>
      <c r="L2" s="254"/>
      <c r="M2" s="254"/>
      <c r="N2" s="255"/>
      <c r="P2" s="212"/>
      <c r="Q2" s="212"/>
      <c r="R2" s="212"/>
      <c r="S2" s="212"/>
      <c r="T2" s="212"/>
      <c r="U2" s="212"/>
    </row>
    <row r="3" spans="2:21" ht="31.5" customHeight="1" x14ac:dyDescent="0.6">
      <c r="B3" s="217" t="s">
        <v>10</v>
      </c>
      <c r="C3" s="218"/>
      <c r="D3" s="218"/>
      <c r="E3" s="226">
        <v>0.06</v>
      </c>
      <c r="F3" s="226"/>
      <c r="G3" s="226"/>
      <c r="H3" s="226"/>
      <c r="I3" s="226"/>
      <c r="J3" s="226"/>
      <c r="K3" s="227" t="s">
        <v>119</v>
      </c>
      <c r="L3" s="228"/>
      <c r="M3" s="228"/>
      <c r="N3" s="229"/>
      <c r="P3" s="213"/>
      <c r="Q3" s="213"/>
      <c r="R3" s="213"/>
      <c r="S3" s="213"/>
      <c r="T3" s="213"/>
      <c r="U3" s="213"/>
    </row>
    <row r="4" spans="2:21" ht="18.75" customHeight="1" x14ac:dyDescent="0.25">
      <c r="B4" s="214" t="s">
        <v>19</v>
      </c>
      <c r="C4" s="215"/>
      <c r="D4" s="216"/>
      <c r="E4" s="252">
        <v>4</v>
      </c>
      <c r="F4" s="248"/>
      <c r="G4" s="247">
        <v>5</v>
      </c>
      <c r="H4" s="248"/>
      <c r="I4" s="247">
        <v>6</v>
      </c>
      <c r="J4" s="252"/>
      <c r="K4" s="230"/>
      <c r="L4" s="213"/>
      <c r="M4" s="213"/>
      <c r="N4" s="231"/>
      <c r="P4" s="213"/>
      <c r="Q4" s="213"/>
      <c r="R4" s="213"/>
      <c r="S4" s="213"/>
      <c r="T4" s="213"/>
      <c r="U4" s="213"/>
    </row>
    <row r="5" spans="2:21" ht="18.75" x14ac:dyDescent="0.3">
      <c r="B5" s="217" t="s">
        <v>11</v>
      </c>
      <c r="C5" s="218"/>
      <c r="D5" s="219"/>
      <c r="E5" s="19">
        <v>1</v>
      </c>
      <c r="F5" s="15">
        <v>2</v>
      </c>
      <c r="G5" s="15">
        <v>1</v>
      </c>
      <c r="H5" s="15">
        <v>2</v>
      </c>
      <c r="I5" s="15">
        <v>1</v>
      </c>
      <c r="J5" s="82">
        <v>2</v>
      </c>
      <c r="K5" s="230"/>
      <c r="L5" s="213"/>
      <c r="M5" s="213"/>
      <c r="N5" s="231"/>
      <c r="P5" s="213"/>
      <c r="Q5" s="213"/>
      <c r="R5" s="213"/>
      <c r="S5" s="213"/>
      <c r="T5" s="213"/>
      <c r="U5" s="213"/>
    </row>
    <row r="6" spans="2:21" ht="27" x14ac:dyDescent="0.5">
      <c r="B6" s="220" t="s">
        <v>12</v>
      </c>
      <c r="C6" s="221"/>
      <c r="D6" s="221"/>
      <c r="E6" s="154">
        <v>612.5</v>
      </c>
      <c r="F6" s="17">
        <v>655.5</v>
      </c>
      <c r="G6" s="17">
        <v>678.5</v>
      </c>
      <c r="H6" s="17">
        <v>724</v>
      </c>
      <c r="I6" s="17">
        <v>759</v>
      </c>
      <c r="J6" s="83">
        <v>810.5</v>
      </c>
      <c r="K6" s="230"/>
      <c r="L6" s="213"/>
      <c r="M6" s="213"/>
      <c r="N6" s="231"/>
      <c r="P6" s="213"/>
      <c r="Q6" s="213"/>
      <c r="R6" s="213"/>
      <c r="S6" s="213"/>
      <c r="T6" s="213"/>
      <c r="U6" s="213"/>
    </row>
    <row r="7" spans="2:21" ht="22.5" customHeight="1" x14ac:dyDescent="0.25">
      <c r="B7" s="235" t="s">
        <v>13</v>
      </c>
      <c r="C7" s="236"/>
      <c r="D7" s="236"/>
      <c r="E7" s="224" t="s">
        <v>14</v>
      </c>
      <c r="F7" s="224"/>
      <c r="G7" s="224"/>
      <c r="H7" s="224"/>
      <c r="I7" s="224"/>
      <c r="J7" s="225"/>
      <c r="K7" s="230"/>
      <c r="L7" s="213"/>
      <c r="M7" s="213"/>
      <c r="N7" s="231"/>
      <c r="P7" s="213"/>
      <c r="Q7" s="213"/>
      <c r="R7" s="213"/>
      <c r="S7" s="213"/>
      <c r="T7" s="213"/>
      <c r="U7" s="213"/>
    </row>
    <row r="8" spans="2:21" ht="27.75" thickBot="1" x14ac:dyDescent="0.55000000000000004">
      <c r="B8" s="222" t="s">
        <v>15</v>
      </c>
      <c r="C8" s="223"/>
      <c r="D8" s="223"/>
      <c r="E8" s="187">
        <f t="shared" ref="E8:J8" si="0">CEILING(E6:J6/100*6,0.5)</f>
        <v>37</v>
      </c>
      <c r="F8" s="188">
        <f t="shared" si="0"/>
        <v>39.5</v>
      </c>
      <c r="G8" s="188">
        <f t="shared" si="0"/>
        <v>41</v>
      </c>
      <c r="H8" s="188">
        <f t="shared" si="0"/>
        <v>43.5</v>
      </c>
      <c r="I8" s="188">
        <f t="shared" si="0"/>
        <v>46</v>
      </c>
      <c r="J8" s="189">
        <f t="shared" si="0"/>
        <v>49</v>
      </c>
      <c r="K8" s="232"/>
      <c r="L8" s="233"/>
      <c r="M8" s="233"/>
      <c r="N8" s="234"/>
      <c r="P8" s="213"/>
      <c r="Q8" s="213"/>
      <c r="R8" s="213"/>
      <c r="S8" s="213"/>
      <c r="T8" s="213"/>
      <c r="U8" s="213"/>
    </row>
    <row r="9" spans="2:21" ht="27.75" thickBot="1" x14ac:dyDescent="0.55000000000000004">
      <c r="B9" s="173"/>
      <c r="C9" s="107"/>
      <c r="D9" s="107"/>
      <c r="E9" s="107"/>
      <c r="F9" s="107"/>
      <c r="G9" s="107"/>
      <c r="H9" s="107"/>
      <c r="I9" s="168"/>
      <c r="J9" s="168"/>
      <c r="K9" s="168"/>
      <c r="L9" s="168"/>
      <c r="M9" s="168"/>
      <c r="N9" s="168"/>
      <c r="P9" s="213"/>
      <c r="Q9" s="213"/>
      <c r="R9" s="213"/>
      <c r="S9" s="213"/>
      <c r="T9" s="213"/>
      <c r="U9" s="213"/>
    </row>
    <row r="10" spans="2:21" ht="26.25" x14ac:dyDescent="0.4">
      <c r="B10" s="244" t="s">
        <v>17</v>
      </c>
      <c r="C10" s="245"/>
      <c r="D10" s="245"/>
      <c r="E10" s="245"/>
      <c r="F10" s="245"/>
      <c r="G10" s="245"/>
      <c r="H10" s="245"/>
      <c r="I10" s="245"/>
      <c r="J10" s="245"/>
      <c r="K10" s="245"/>
      <c r="L10" s="246"/>
      <c r="M10" s="13"/>
      <c r="N10" s="13"/>
      <c r="P10" s="131"/>
      <c r="Q10" s="131"/>
      <c r="R10" s="131"/>
      <c r="S10" s="131"/>
      <c r="T10" s="131"/>
      <c r="U10" s="131"/>
    </row>
    <row r="11" spans="2:21" ht="27" x14ac:dyDescent="0.5">
      <c r="B11" s="169" t="s">
        <v>18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1"/>
      <c r="M11" s="13"/>
      <c r="N11" s="13"/>
    </row>
    <row r="12" spans="2:21" ht="26.25" x14ac:dyDescent="0.4">
      <c r="B12" s="214" t="s">
        <v>10</v>
      </c>
      <c r="C12" s="215"/>
      <c r="D12" s="216"/>
      <c r="E12" s="242">
        <v>0.04</v>
      </c>
      <c r="F12" s="242"/>
      <c r="G12" s="242"/>
      <c r="H12" s="242"/>
      <c r="I12" s="242"/>
      <c r="J12" s="242"/>
      <c r="K12" s="242"/>
      <c r="L12" s="243"/>
      <c r="M12" s="13"/>
      <c r="N12" s="13"/>
    </row>
    <row r="13" spans="2:21" ht="18.75" x14ac:dyDescent="0.3">
      <c r="B13" s="214" t="s">
        <v>19</v>
      </c>
      <c r="C13" s="215"/>
      <c r="D13" s="216"/>
      <c r="E13" s="247">
        <v>6</v>
      </c>
      <c r="F13" s="248"/>
      <c r="G13" s="247">
        <v>7</v>
      </c>
      <c r="H13" s="248"/>
      <c r="I13" s="247">
        <v>8</v>
      </c>
      <c r="J13" s="248"/>
      <c r="K13" s="247">
        <v>9</v>
      </c>
      <c r="L13" s="249"/>
      <c r="M13" s="13"/>
      <c r="N13" s="13"/>
    </row>
    <row r="14" spans="2:21" ht="18.75" x14ac:dyDescent="0.3">
      <c r="B14" s="214" t="s">
        <v>11</v>
      </c>
      <c r="C14" s="215"/>
      <c r="D14" s="216"/>
      <c r="E14" s="15">
        <v>1</v>
      </c>
      <c r="F14" s="15">
        <v>2</v>
      </c>
      <c r="G14" s="15">
        <v>1</v>
      </c>
      <c r="H14" s="15">
        <v>2</v>
      </c>
      <c r="I14" s="15">
        <v>1</v>
      </c>
      <c r="J14" s="15">
        <v>2</v>
      </c>
      <c r="K14" s="15">
        <v>1</v>
      </c>
      <c r="L14" s="16">
        <v>2</v>
      </c>
      <c r="M14" s="13"/>
      <c r="N14" s="13"/>
    </row>
    <row r="15" spans="2:21" ht="27" x14ac:dyDescent="0.5">
      <c r="B15" s="214" t="s">
        <v>12</v>
      </c>
      <c r="C15" s="215"/>
      <c r="D15" s="216"/>
      <c r="E15" s="17">
        <v>759</v>
      </c>
      <c r="F15" s="17">
        <v>810.5</v>
      </c>
      <c r="G15" s="17">
        <v>828.5</v>
      </c>
      <c r="H15" s="17">
        <v>883.5</v>
      </c>
      <c r="I15" s="17">
        <v>927.5</v>
      </c>
      <c r="J15" s="17">
        <v>990</v>
      </c>
      <c r="K15" s="17">
        <v>1038.5</v>
      </c>
      <c r="L15" s="165">
        <v>1109</v>
      </c>
      <c r="M15" s="13"/>
      <c r="N15" s="13"/>
    </row>
    <row r="16" spans="2:21" ht="18" x14ac:dyDescent="0.25">
      <c r="B16" s="214" t="s">
        <v>13</v>
      </c>
      <c r="C16" s="215"/>
      <c r="D16" s="216"/>
      <c r="E16" s="20">
        <f t="shared" ref="E16:L16" si="1">E15*0.24</f>
        <v>182.16</v>
      </c>
      <c r="F16" s="20">
        <f t="shared" si="1"/>
        <v>194.51999999999998</v>
      </c>
      <c r="G16" s="20">
        <f t="shared" si="1"/>
        <v>198.84</v>
      </c>
      <c r="H16" s="20">
        <f t="shared" si="1"/>
        <v>212.04</v>
      </c>
      <c r="I16" s="20">
        <f t="shared" si="1"/>
        <v>222.6</v>
      </c>
      <c r="J16" s="20">
        <f t="shared" si="1"/>
        <v>237.6</v>
      </c>
      <c r="K16" s="20">
        <f t="shared" si="1"/>
        <v>249.23999999999998</v>
      </c>
      <c r="L16" s="21">
        <f t="shared" si="1"/>
        <v>266.15999999999997</v>
      </c>
      <c r="M16" s="22"/>
      <c r="N16" s="22"/>
    </row>
    <row r="17" spans="1:14" ht="18.75" x14ac:dyDescent="0.3">
      <c r="B17" s="214" t="s">
        <v>20</v>
      </c>
      <c r="C17" s="215"/>
      <c r="D17" s="216"/>
      <c r="E17" s="23">
        <f t="shared" ref="E17:L17" si="2">SUM(E15:E16)</f>
        <v>941.16</v>
      </c>
      <c r="F17" s="23">
        <f t="shared" si="2"/>
        <v>1005.02</v>
      </c>
      <c r="G17" s="23">
        <f t="shared" si="2"/>
        <v>1027.3399999999999</v>
      </c>
      <c r="H17" s="23">
        <f t="shared" si="2"/>
        <v>1095.54</v>
      </c>
      <c r="I17" s="23">
        <f t="shared" si="2"/>
        <v>1150.0999999999999</v>
      </c>
      <c r="J17" s="23">
        <f t="shared" si="2"/>
        <v>1227.5999999999999</v>
      </c>
      <c r="K17" s="23">
        <f t="shared" si="2"/>
        <v>1287.74</v>
      </c>
      <c r="L17" s="24">
        <f t="shared" si="2"/>
        <v>1375.1599999999999</v>
      </c>
      <c r="M17" s="13"/>
      <c r="N17" s="13"/>
    </row>
    <row r="18" spans="1:14" ht="27.75" thickBot="1" x14ac:dyDescent="0.55000000000000004">
      <c r="B18" s="237" t="s">
        <v>108</v>
      </c>
      <c r="C18" s="238"/>
      <c r="D18" s="239"/>
      <c r="E18" s="166">
        <f t="shared" ref="E18:L18" si="3">CEILING(E17:N17/100*4,0.5)</f>
        <v>38</v>
      </c>
      <c r="F18" s="166">
        <f t="shared" si="3"/>
        <v>40.5</v>
      </c>
      <c r="G18" s="166">
        <f t="shared" si="3"/>
        <v>41.5</v>
      </c>
      <c r="H18" s="166">
        <f t="shared" si="3"/>
        <v>44</v>
      </c>
      <c r="I18" s="166">
        <f t="shared" si="3"/>
        <v>46.5</v>
      </c>
      <c r="J18" s="166">
        <f t="shared" si="3"/>
        <v>49.5</v>
      </c>
      <c r="K18" s="166">
        <f t="shared" si="3"/>
        <v>52</v>
      </c>
      <c r="L18" s="167">
        <f t="shared" si="3"/>
        <v>55.5</v>
      </c>
      <c r="M18" s="13"/>
      <c r="N18" s="13"/>
    </row>
    <row r="19" spans="1:14" ht="27.75" thickBot="1" x14ac:dyDescent="0.55000000000000004">
      <c r="A19" s="172"/>
      <c r="B19" s="106"/>
      <c r="C19" s="111"/>
      <c r="D19" s="112"/>
      <c r="E19" s="111"/>
      <c r="F19" s="112"/>
      <c r="G19" s="111"/>
      <c r="H19" s="112"/>
      <c r="I19" s="111"/>
      <c r="J19" s="112"/>
      <c r="K19" s="111"/>
      <c r="L19" s="112"/>
      <c r="M19" s="176"/>
      <c r="N19" s="13"/>
    </row>
    <row r="20" spans="1:14" ht="26.25" x14ac:dyDescent="0.4">
      <c r="B20" s="244" t="s">
        <v>21</v>
      </c>
      <c r="C20" s="245"/>
      <c r="D20" s="245"/>
      <c r="E20" s="245"/>
      <c r="F20" s="245"/>
      <c r="G20" s="245"/>
      <c r="H20" s="245"/>
      <c r="I20" s="245"/>
      <c r="J20" s="245"/>
      <c r="K20" s="245"/>
      <c r="L20" s="246"/>
      <c r="M20" s="13"/>
      <c r="N20" s="13"/>
    </row>
    <row r="21" spans="1:14" ht="27" x14ac:dyDescent="0.5">
      <c r="B21" s="260" t="s">
        <v>22</v>
      </c>
      <c r="C21" s="261"/>
      <c r="D21" s="261"/>
      <c r="E21" s="261"/>
      <c r="F21" s="261"/>
      <c r="G21" s="261"/>
      <c r="H21" s="261"/>
      <c r="I21" s="261"/>
      <c r="J21" s="261"/>
      <c r="K21" s="261"/>
      <c r="L21" s="262"/>
      <c r="M21" s="25"/>
      <c r="N21" s="13"/>
    </row>
    <row r="22" spans="1:14" ht="26.25" x14ac:dyDescent="0.4">
      <c r="B22" s="263" t="s">
        <v>10</v>
      </c>
      <c r="C22" s="264"/>
      <c r="D22" s="264"/>
      <c r="E22" s="240">
        <v>0.08</v>
      </c>
      <c r="F22" s="240"/>
      <c r="G22" s="240"/>
      <c r="H22" s="240"/>
      <c r="I22" s="240"/>
      <c r="J22" s="240"/>
      <c r="K22" s="240"/>
      <c r="L22" s="241"/>
      <c r="M22" s="26"/>
      <c r="N22" s="22"/>
    </row>
    <row r="23" spans="1:14" ht="18" x14ac:dyDescent="0.25">
      <c r="B23" s="36" t="s">
        <v>19</v>
      </c>
      <c r="C23" s="252"/>
      <c r="D23" s="248"/>
      <c r="E23" s="252">
        <v>6</v>
      </c>
      <c r="F23" s="248"/>
      <c r="G23" s="247">
        <v>7</v>
      </c>
      <c r="H23" s="248"/>
      <c r="I23" s="247">
        <v>8</v>
      </c>
      <c r="J23" s="248"/>
      <c r="K23" s="247">
        <v>9</v>
      </c>
      <c r="L23" s="249"/>
      <c r="M23" s="26"/>
      <c r="N23" s="22"/>
    </row>
    <row r="24" spans="1:14" ht="18" x14ac:dyDescent="0.25">
      <c r="B24" s="156" t="s">
        <v>11</v>
      </c>
      <c r="C24" s="157"/>
      <c r="D24" s="158"/>
      <c r="E24" s="27">
        <v>1</v>
      </c>
      <c r="F24" s="28">
        <v>2</v>
      </c>
      <c r="G24" s="28">
        <v>1</v>
      </c>
      <c r="H24" s="28">
        <v>2</v>
      </c>
      <c r="I24" s="28">
        <v>1</v>
      </c>
      <c r="J24" s="28">
        <v>2</v>
      </c>
      <c r="K24" s="28">
        <v>1</v>
      </c>
      <c r="L24" s="29">
        <v>2</v>
      </c>
      <c r="M24" s="26"/>
      <c r="N24" s="22"/>
    </row>
    <row r="25" spans="1:14" ht="27" x14ac:dyDescent="0.5">
      <c r="B25" s="156" t="s">
        <v>12</v>
      </c>
      <c r="C25" s="159"/>
      <c r="D25" s="160"/>
      <c r="E25" s="154">
        <v>759</v>
      </c>
      <c r="F25" s="17">
        <v>810.5</v>
      </c>
      <c r="G25" s="17">
        <v>828.5</v>
      </c>
      <c r="H25" s="17">
        <v>883.5</v>
      </c>
      <c r="I25" s="17">
        <v>927.5</v>
      </c>
      <c r="J25" s="17">
        <v>990</v>
      </c>
      <c r="K25" s="17">
        <v>1038.5</v>
      </c>
      <c r="L25" s="165">
        <v>1109</v>
      </c>
      <c r="M25" s="26"/>
      <c r="N25" s="22"/>
    </row>
    <row r="26" spans="1:14" ht="18" x14ac:dyDescent="0.25">
      <c r="B26" s="156" t="s">
        <v>13</v>
      </c>
      <c r="C26" s="161"/>
      <c r="D26" s="162"/>
      <c r="E26" s="155">
        <f t="shared" ref="E26" si="4">E25*0.24</f>
        <v>182.16</v>
      </c>
      <c r="F26" s="20">
        <f>F25*0.24</f>
        <v>194.51999999999998</v>
      </c>
      <c r="G26" s="20">
        <f t="shared" ref="G26:L26" si="5">G25*0.24</f>
        <v>198.84</v>
      </c>
      <c r="H26" s="20">
        <f t="shared" si="5"/>
        <v>212.04</v>
      </c>
      <c r="I26" s="20">
        <f t="shared" si="5"/>
        <v>222.6</v>
      </c>
      <c r="J26" s="20">
        <f t="shared" si="5"/>
        <v>237.6</v>
      </c>
      <c r="K26" s="20">
        <f t="shared" si="5"/>
        <v>249.23999999999998</v>
      </c>
      <c r="L26" s="21">
        <f t="shared" si="5"/>
        <v>266.15999999999997</v>
      </c>
      <c r="M26" s="26"/>
      <c r="N26" s="22"/>
    </row>
    <row r="27" spans="1:14" ht="18" x14ac:dyDescent="0.25">
      <c r="B27" s="156" t="s">
        <v>20</v>
      </c>
      <c r="C27" s="163"/>
      <c r="D27" s="164"/>
      <c r="E27" s="23">
        <f t="shared" ref="E27:L27" si="6">SUM(E25:E26)</f>
        <v>941.16</v>
      </c>
      <c r="F27" s="30">
        <f t="shared" si="6"/>
        <v>1005.02</v>
      </c>
      <c r="G27" s="30">
        <f t="shared" si="6"/>
        <v>1027.3399999999999</v>
      </c>
      <c r="H27" s="30">
        <f t="shared" si="6"/>
        <v>1095.54</v>
      </c>
      <c r="I27" s="30">
        <f t="shared" si="6"/>
        <v>1150.0999999999999</v>
      </c>
      <c r="J27" s="30">
        <f t="shared" si="6"/>
        <v>1227.5999999999999</v>
      </c>
      <c r="K27" s="30">
        <f t="shared" si="6"/>
        <v>1287.74</v>
      </c>
      <c r="L27" s="31">
        <f t="shared" si="6"/>
        <v>1375.1599999999999</v>
      </c>
      <c r="M27" s="26"/>
      <c r="N27" s="22"/>
    </row>
    <row r="28" spans="1:14" ht="27.75" thickBot="1" x14ac:dyDescent="0.55000000000000004">
      <c r="B28" s="265" t="s">
        <v>108</v>
      </c>
      <c r="C28" s="266"/>
      <c r="D28" s="267"/>
      <c r="E28" s="177">
        <f t="shared" ref="E28:L28" si="7">CEILING(E27:N27/100*8,0.5)</f>
        <v>75.5</v>
      </c>
      <c r="F28" s="178">
        <f t="shared" si="7"/>
        <v>80.5</v>
      </c>
      <c r="G28" s="178">
        <f t="shared" si="7"/>
        <v>82.5</v>
      </c>
      <c r="H28" s="178">
        <f t="shared" si="7"/>
        <v>88</v>
      </c>
      <c r="I28" s="178">
        <f t="shared" si="7"/>
        <v>92.5</v>
      </c>
      <c r="J28" s="178">
        <f t="shared" si="7"/>
        <v>98.5</v>
      </c>
      <c r="K28" s="178">
        <f t="shared" si="7"/>
        <v>103.5</v>
      </c>
      <c r="L28" s="179">
        <f t="shared" si="7"/>
        <v>110.5</v>
      </c>
      <c r="M28" s="26"/>
      <c r="N28" s="22"/>
    </row>
    <row r="29" spans="1:14" ht="27.75" thickBot="1" x14ac:dyDescent="0.55000000000000004">
      <c r="B29" s="106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06"/>
      <c r="N29" s="22"/>
    </row>
    <row r="30" spans="1:14" ht="26.25" x14ac:dyDescent="0.4">
      <c r="B30" s="268" t="s">
        <v>23</v>
      </c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70"/>
    </row>
    <row r="31" spans="1:14" ht="27" x14ac:dyDescent="0.5">
      <c r="B31" s="256" t="s">
        <v>24</v>
      </c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8"/>
    </row>
    <row r="32" spans="1:14" ht="26.25" x14ac:dyDescent="0.4">
      <c r="B32" s="14" t="s">
        <v>10</v>
      </c>
      <c r="C32" s="259">
        <v>0.05</v>
      </c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1"/>
    </row>
    <row r="33" spans="1:15" ht="18" x14ac:dyDescent="0.25">
      <c r="B33" s="14" t="s">
        <v>19</v>
      </c>
      <c r="C33" s="247">
        <v>4</v>
      </c>
      <c r="D33" s="248"/>
      <c r="E33" s="247">
        <v>5</v>
      </c>
      <c r="F33" s="248"/>
      <c r="G33" s="247">
        <v>6</v>
      </c>
      <c r="H33" s="248"/>
      <c r="I33" s="247">
        <v>7</v>
      </c>
      <c r="J33" s="248"/>
      <c r="K33" s="32">
        <v>8</v>
      </c>
      <c r="L33" s="33"/>
      <c r="M33" s="32">
        <v>9</v>
      </c>
      <c r="N33" s="34"/>
    </row>
    <row r="34" spans="1:15" ht="18" x14ac:dyDescent="0.25">
      <c r="B34" s="14" t="s">
        <v>11</v>
      </c>
      <c r="C34" s="27">
        <v>1</v>
      </c>
      <c r="D34" s="28">
        <v>2</v>
      </c>
      <c r="E34" s="28">
        <v>1</v>
      </c>
      <c r="F34" s="28">
        <v>2</v>
      </c>
      <c r="G34" s="28">
        <v>1</v>
      </c>
      <c r="H34" s="28">
        <v>2</v>
      </c>
      <c r="I34" s="28">
        <v>1</v>
      </c>
      <c r="J34" s="28">
        <v>2</v>
      </c>
      <c r="K34" s="28">
        <v>1</v>
      </c>
      <c r="L34" s="28">
        <v>2</v>
      </c>
      <c r="M34" s="28">
        <v>1</v>
      </c>
      <c r="N34" s="29">
        <v>2</v>
      </c>
    </row>
    <row r="35" spans="1:15" ht="27" x14ac:dyDescent="0.5">
      <c r="B35" s="14" t="s">
        <v>12</v>
      </c>
      <c r="C35" s="17">
        <v>612.5</v>
      </c>
      <c r="D35" s="17">
        <v>655.5</v>
      </c>
      <c r="E35" s="17">
        <v>678.5</v>
      </c>
      <c r="F35" s="17">
        <v>724</v>
      </c>
      <c r="G35" s="17">
        <v>759</v>
      </c>
      <c r="H35" s="17">
        <v>810.5</v>
      </c>
      <c r="I35" s="17">
        <v>828.5</v>
      </c>
      <c r="J35" s="17">
        <v>883.5</v>
      </c>
      <c r="K35" s="17">
        <v>927.5</v>
      </c>
      <c r="L35" s="17">
        <v>990</v>
      </c>
      <c r="M35" s="17">
        <v>1038.5</v>
      </c>
      <c r="N35" s="165">
        <v>1109</v>
      </c>
    </row>
    <row r="36" spans="1:15" ht="18" x14ac:dyDescent="0.25">
      <c r="B36" s="14" t="s">
        <v>13</v>
      </c>
      <c r="C36" s="20">
        <f>C35*0.24</f>
        <v>147</v>
      </c>
      <c r="D36" s="20">
        <f t="shared" ref="D36:N36" si="8">D35*0.24</f>
        <v>157.32</v>
      </c>
      <c r="E36" s="20">
        <f t="shared" si="8"/>
        <v>162.84</v>
      </c>
      <c r="F36" s="20">
        <f t="shared" si="8"/>
        <v>173.76</v>
      </c>
      <c r="G36" s="20">
        <f t="shared" si="8"/>
        <v>182.16</v>
      </c>
      <c r="H36" s="20">
        <f t="shared" si="8"/>
        <v>194.51999999999998</v>
      </c>
      <c r="I36" s="20">
        <f t="shared" si="8"/>
        <v>198.84</v>
      </c>
      <c r="J36" s="20">
        <f t="shared" si="8"/>
        <v>212.04</v>
      </c>
      <c r="K36" s="20">
        <f t="shared" si="8"/>
        <v>222.6</v>
      </c>
      <c r="L36" s="20">
        <f t="shared" si="8"/>
        <v>237.6</v>
      </c>
      <c r="M36" s="20">
        <f t="shared" si="8"/>
        <v>249.23999999999998</v>
      </c>
      <c r="N36" s="21">
        <f t="shared" si="8"/>
        <v>266.15999999999997</v>
      </c>
    </row>
    <row r="37" spans="1:15" ht="18" x14ac:dyDescent="0.25">
      <c r="B37" s="14" t="s">
        <v>20</v>
      </c>
      <c r="C37" s="30">
        <f>SUM(C35:C36)</f>
        <v>759.5</v>
      </c>
      <c r="D37" s="30">
        <f t="shared" ref="D37:N37" si="9">SUM(D35:D36)</f>
        <v>812.81999999999994</v>
      </c>
      <c r="E37" s="30">
        <f t="shared" si="9"/>
        <v>841.34</v>
      </c>
      <c r="F37" s="30">
        <f t="shared" si="9"/>
        <v>897.76</v>
      </c>
      <c r="G37" s="30">
        <f t="shared" si="9"/>
        <v>941.16</v>
      </c>
      <c r="H37" s="30">
        <f t="shared" si="9"/>
        <v>1005.02</v>
      </c>
      <c r="I37" s="30">
        <f t="shared" si="9"/>
        <v>1027.3399999999999</v>
      </c>
      <c r="J37" s="30">
        <f t="shared" si="9"/>
        <v>1095.54</v>
      </c>
      <c r="K37" s="30">
        <f t="shared" si="9"/>
        <v>1150.0999999999999</v>
      </c>
      <c r="L37" s="30">
        <f t="shared" si="9"/>
        <v>1227.5999999999999</v>
      </c>
      <c r="M37" s="30">
        <f t="shared" si="9"/>
        <v>1287.74</v>
      </c>
      <c r="N37" s="31">
        <f t="shared" si="9"/>
        <v>1375.1599999999999</v>
      </c>
    </row>
    <row r="38" spans="1:15" ht="27.75" thickBot="1" x14ac:dyDescent="0.55000000000000004">
      <c r="B38" s="180" t="s">
        <v>108</v>
      </c>
      <c r="C38" s="181">
        <f>CEILING(C37:N37/100*5,0.5)</f>
        <v>38</v>
      </c>
      <c r="D38" s="181">
        <f t="shared" ref="D38:N38" si="10">CEILING(D37:O37/100*5,0.5)</f>
        <v>41</v>
      </c>
      <c r="E38" s="181">
        <f t="shared" si="10"/>
        <v>42.5</v>
      </c>
      <c r="F38" s="181">
        <f t="shared" si="10"/>
        <v>45</v>
      </c>
      <c r="G38" s="181">
        <f t="shared" si="10"/>
        <v>47.5</v>
      </c>
      <c r="H38" s="181">
        <f t="shared" si="10"/>
        <v>50.5</v>
      </c>
      <c r="I38" s="181">
        <f t="shared" si="10"/>
        <v>51.5</v>
      </c>
      <c r="J38" s="181">
        <f t="shared" si="10"/>
        <v>55</v>
      </c>
      <c r="K38" s="181">
        <f t="shared" si="10"/>
        <v>58</v>
      </c>
      <c r="L38" s="181">
        <f t="shared" si="10"/>
        <v>61.5</v>
      </c>
      <c r="M38" s="181">
        <f t="shared" si="10"/>
        <v>64.5</v>
      </c>
      <c r="N38" s="182">
        <f t="shared" si="10"/>
        <v>69</v>
      </c>
    </row>
    <row r="39" spans="1:15" ht="27.75" thickBot="1" x14ac:dyDescent="0.55000000000000004">
      <c r="A39" s="172"/>
      <c r="B39" s="106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72"/>
    </row>
    <row r="40" spans="1:15" ht="31.5" x14ac:dyDescent="0.6">
      <c r="B40" s="209" t="s">
        <v>25</v>
      </c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1"/>
    </row>
    <row r="41" spans="1:15" ht="27" x14ac:dyDescent="0.5">
      <c r="B41" s="298" t="s">
        <v>26</v>
      </c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300"/>
    </row>
    <row r="42" spans="1:15" ht="26.25" x14ac:dyDescent="0.4">
      <c r="B42" s="14" t="s">
        <v>10</v>
      </c>
      <c r="C42" s="259">
        <v>0.1</v>
      </c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1"/>
    </row>
    <row r="43" spans="1:15" ht="18" x14ac:dyDescent="0.25">
      <c r="B43" s="14" t="s">
        <v>19</v>
      </c>
      <c r="C43" s="247">
        <v>4</v>
      </c>
      <c r="D43" s="248"/>
      <c r="E43" s="247">
        <v>5</v>
      </c>
      <c r="F43" s="248"/>
      <c r="G43" s="247">
        <v>6</v>
      </c>
      <c r="H43" s="248"/>
      <c r="I43" s="247">
        <v>7</v>
      </c>
      <c r="J43" s="248"/>
      <c r="K43" s="32">
        <v>8</v>
      </c>
      <c r="L43" s="33"/>
      <c r="M43" s="32">
        <v>9</v>
      </c>
      <c r="N43" s="34"/>
    </row>
    <row r="44" spans="1:15" ht="18" x14ac:dyDescent="0.25">
      <c r="B44" s="14" t="s">
        <v>11</v>
      </c>
      <c r="C44" s="27">
        <v>1</v>
      </c>
      <c r="D44" s="28">
        <v>2</v>
      </c>
      <c r="E44" s="28">
        <v>1</v>
      </c>
      <c r="F44" s="28">
        <v>2</v>
      </c>
      <c r="G44" s="28">
        <v>1</v>
      </c>
      <c r="H44" s="28">
        <v>2</v>
      </c>
      <c r="I44" s="28">
        <v>1</v>
      </c>
      <c r="J44" s="28">
        <v>2</v>
      </c>
      <c r="K44" s="28">
        <v>1</v>
      </c>
      <c r="L44" s="28">
        <v>2</v>
      </c>
      <c r="M44" s="28">
        <v>1</v>
      </c>
      <c r="N44" s="29">
        <v>2</v>
      </c>
    </row>
    <row r="45" spans="1:15" ht="27" x14ac:dyDescent="0.5">
      <c r="B45" s="14" t="s">
        <v>12</v>
      </c>
      <c r="C45" s="17">
        <v>612.5</v>
      </c>
      <c r="D45" s="17">
        <v>655.5</v>
      </c>
      <c r="E45" s="17">
        <v>678.5</v>
      </c>
      <c r="F45" s="17">
        <v>724</v>
      </c>
      <c r="G45" s="17">
        <v>759</v>
      </c>
      <c r="H45" s="17">
        <v>810.5</v>
      </c>
      <c r="I45" s="17">
        <v>828.5</v>
      </c>
      <c r="J45" s="17">
        <v>883.5</v>
      </c>
      <c r="K45" s="17">
        <v>927.5</v>
      </c>
      <c r="L45" s="17">
        <v>990</v>
      </c>
      <c r="M45" s="17">
        <v>1038.5</v>
      </c>
      <c r="N45" s="165">
        <v>1109</v>
      </c>
    </row>
    <row r="46" spans="1:15" ht="18" x14ac:dyDescent="0.25">
      <c r="B46" s="35" t="s">
        <v>13</v>
      </c>
      <c r="C46" s="20">
        <f>C45*0.24</f>
        <v>147</v>
      </c>
      <c r="D46" s="20">
        <f t="shared" ref="D46:N46" si="11">D45*0.24</f>
        <v>157.32</v>
      </c>
      <c r="E46" s="20">
        <f t="shared" si="11"/>
        <v>162.84</v>
      </c>
      <c r="F46" s="20">
        <f t="shared" si="11"/>
        <v>173.76</v>
      </c>
      <c r="G46" s="20">
        <f t="shared" si="11"/>
        <v>182.16</v>
      </c>
      <c r="H46" s="20">
        <f t="shared" si="11"/>
        <v>194.51999999999998</v>
      </c>
      <c r="I46" s="20">
        <f t="shared" si="11"/>
        <v>198.84</v>
      </c>
      <c r="J46" s="20">
        <f t="shared" si="11"/>
        <v>212.04</v>
      </c>
      <c r="K46" s="20">
        <f t="shared" si="11"/>
        <v>222.6</v>
      </c>
      <c r="L46" s="20">
        <f t="shared" si="11"/>
        <v>237.6</v>
      </c>
      <c r="M46" s="20">
        <f t="shared" si="11"/>
        <v>249.23999999999998</v>
      </c>
      <c r="N46" s="21">
        <f t="shared" si="11"/>
        <v>266.15999999999997</v>
      </c>
    </row>
    <row r="47" spans="1:15" ht="18" x14ac:dyDescent="0.25">
      <c r="B47" s="14" t="s">
        <v>20</v>
      </c>
      <c r="C47" s="30">
        <f t="shared" ref="C47:N47" si="12">SUM(C45:C46)</f>
        <v>759.5</v>
      </c>
      <c r="D47" s="30">
        <f t="shared" si="12"/>
        <v>812.81999999999994</v>
      </c>
      <c r="E47" s="23">
        <f t="shared" si="12"/>
        <v>841.34</v>
      </c>
      <c r="F47" s="30">
        <f t="shared" si="12"/>
        <v>897.76</v>
      </c>
      <c r="G47" s="30">
        <f t="shared" si="12"/>
        <v>941.16</v>
      </c>
      <c r="H47" s="30">
        <f t="shared" si="12"/>
        <v>1005.02</v>
      </c>
      <c r="I47" s="30">
        <f t="shared" si="12"/>
        <v>1027.3399999999999</v>
      </c>
      <c r="J47" s="30">
        <f t="shared" si="12"/>
        <v>1095.54</v>
      </c>
      <c r="K47" s="30">
        <f t="shared" si="12"/>
        <v>1150.0999999999999</v>
      </c>
      <c r="L47" s="30">
        <f t="shared" si="12"/>
        <v>1227.5999999999999</v>
      </c>
      <c r="M47" s="30">
        <f t="shared" si="12"/>
        <v>1287.74</v>
      </c>
      <c r="N47" s="31">
        <f t="shared" si="12"/>
        <v>1375.1599999999999</v>
      </c>
    </row>
    <row r="48" spans="1:15" ht="27.75" thickBot="1" x14ac:dyDescent="0.55000000000000004">
      <c r="B48" s="183" t="s">
        <v>109</v>
      </c>
      <c r="C48" s="184">
        <f>CEILING(C47:N47/100*10,0.5)</f>
        <v>76</v>
      </c>
      <c r="D48" s="184">
        <f t="shared" ref="D48:N48" si="13">CEILING(D47:O47/100*10,0.5)</f>
        <v>81.5</v>
      </c>
      <c r="E48" s="184">
        <f t="shared" si="13"/>
        <v>84.5</v>
      </c>
      <c r="F48" s="184">
        <f t="shared" si="13"/>
        <v>90</v>
      </c>
      <c r="G48" s="184">
        <f t="shared" si="13"/>
        <v>94.5</v>
      </c>
      <c r="H48" s="184">
        <f t="shared" si="13"/>
        <v>101</v>
      </c>
      <c r="I48" s="184">
        <f t="shared" si="13"/>
        <v>103</v>
      </c>
      <c r="J48" s="184">
        <f t="shared" si="13"/>
        <v>110</v>
      </c>
      <c r="K48" s="184">
        <f t="shared" si="13"/>
        <v>115.5</v>
      </c>
      <c r="L48" s="184">
        <f t="shared" si="13"/>
        <v>123</v>
      </c>
      <c r="M48" s="184">
        <f t="shared" si="13"/>
        <v>129</v>
      </c>
      <c r="N48" s="185">
        <f t="shared" si="13"/>
        <v>138</v>
      </c>
    </row>
    <row r="49" spans="1:15" ht="27.75" thickBot="1" x14ac:dyDescent="0.55000000000000004">
      <c r="A49" s="172"/>
      <c r="B49" s="106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72"/>
    </row>
    <row r="50" spans="1:15" ht="31.5" x14ac:dyDescent="0.6">
      <c r="B50" s="209" t="s">
        <v>27</v>
      </c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1"/>
    </row>
    <row r="51" spans="1:15" ht="27" x14ac:dyDescent="0.5">
      <c r="B51" s="295" t="s">
        <v>28</v>
      </c>
      <c r="C51" s="296"/>
      <c r="D51" s="296"/>
      <c r="E51" s="296"/>
      <c r="F51" s="296"/>
      <c r="G51" s="296"/>
      <c r="H51" s="296"/>
      <c r="I51" s="296"/>
      <c r="J51" s="296"/>
      <c r="K51" s="296"/>
      <c r="L51" s="296"/>
      <c r="M51" s="296"/>
      <c r="N51" s="297"/>
    </row>
    <row r="52" spans="1:15" ht="26.25" x14ac:dyDescent="0.4">
      <c r="B52" s="14" t="s">
        <v>10</v>
      </c>
      <c r="C52" s="259">
        <v>0.06</v>
      </c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1"/>
    </row>
    <row r="53" spans="1:15" ht="18" x14ac:dyDescent="0.25">
      <c r="B53" s="14" t="s">
        <v>19</v>
      </c>
      <c r="C53" s="247">
        <v>4</v>
      </c>
      <c r="D53" s="248"/>
      <c r="E53" s="247">
        <v>5</v>
      </c>
      <c r="F53" s="248"/>
      <c r="G53" s="247">
        <v>6</v>
      </c>
      <c r="H53" s="248"/>
      <c r="I53" s="247">
        <v>7</v>
      </c>
      <c r="J53" s="248"/>
      <c r="K53" s="32">
        <v>8</v>
      </c>
      <c r="L53" s="33"/>
      <c r="M53" s="32">
        <v>9</v>
      </c>
      <c r="N53" s="34"/>
    </row>
    <row r="54" spans="1:15" ht="18" x14ac:dyDescent="0.25">
      <c r="B54" s="36" t="s">
        <v>11</v>
      </c>
      <c r="C54" s="28">
        <v>1</v>
      </c>
      <c r="D54" s="28">
        <v>2</v>
      </c>
      <c r="E54" s="28">
        <v>1</v>
      </c>
      <c r="F54" s="28">
        <v>2</v>
      </c>
      <c r="G54" s="28">
        <v>1</v>
      </c>
      <c r="H54" s="28">
        <v>2</v>
      </c>
      <c r="I54" s="28">
        <v>1</v>
      </c>
      <c r="J54" s="28">
        <v>2</v>
      </c>
      <c r="K54" s="28">
        <v>1</v>
      </c>
      <c r="L54" s="28">
        <v>2</v>
      </c>
      <c r="M54" s="28">
        <v>1</v>
      </c>
      <c r="N54" s="29">
        <v>2</v>
      </c>
    </row>
    <row r="55" spans="1:15" ht="27" x14ac:dyDescent="0.5">
      <c r="B55" s="36" t="s">
        <v>12</v>
      </c>
      <c r="C55" s="17">
        <v>612.5</v>
      </c>
      <c r="D55" s="17">
        <v>655.5</v>
      </c>
      <c r="E55" s="17">
        <v>678.5</v>
      </c>
      <c r="F55" s="17">
        <v>724</v>
      </c>
      <c r="G55" s="17">
        <v>759</v>
      </c>
      <c r="H55" s="17">
        <v>810.5</v>
      </c>
      <c r="I55" s="17">
        <v>828.5</v>
      </c>
      <c r="J55" s="17">
        <v>883.5</v>
      </c>
      <c r="K55" s="17">
        <v>927.5</v>
      </c>
      <c r="L55" s="17">
        <v>990</v>
      </c>
      <c r="M55" s="17">
        <v>1038.5</v>
      </c>
      <c r="N55" s="165">
        <v>1109</v>
      </c>
    </row>
    <row r="56" spans="1:15" ht="22.5" x14ac:dyDescent="0.45">
      <c r="B56" s="37" t="s">
        <v>13</v>
      </c>
      <c r="C56" s="274" t="s">
        <v>14</v>
      </c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6"/>
    </row>
    <row r="57" spans="1:15" ht="27.75" thickBot="1" x14ac:dyDescent="0.55000000000000004">
      <c r="B57" s="186" t="s">
        <v>108</v>
      </c>
      <c r="C57" s="38">
        <f>CEILING(C55:N55/100*6,0.5)</f>
        <v>37</v>
      </c>
      <c r="D57" s="38">
        <f t="shared" ref="D57:N57" si="14">CEILING(D55:O55/100*6,0.5)</f>
        <v>39.5</v>
      </c>
      <c r="E57" s="38">
        <f t="shared" si="14"/>
        <v>41</v>
      </c>
      <c r="F57" s="38">
        <f t="shared" si="14"/>
        <v>43.5</v>
      </c>
      <c r="G57" s="38">
        <f t="shared" si="14"/>
        <v>46</v>
      </c>
      <c r="H57" s="38">
        <f t="shared" si="14"/>
        <v>49</v>
      </c>
      <c r="I57" s="38">
        <f t="shared" si="14"/>
        <v>50</v>
      </c>
      <c r="J57" s="38">
        <f t="shared" si="14"/>
        <v>53.5</v>
      </c>
      <c r="K57" s="38">
        <f t="shared" si="14"/>
        <v>56</v>
      </c>
      <c r="L57" s="38">
        <f t="shared" si="14"/>
        <v>59.5</v>
      </c>
      <c r="M57" s="38">
        <f t="shared" si="14"/>
        <v>62.5</v>
      </c>
      <c r="N57" s="39">
        <f t="shared" si="14"/>
        <v>67</v>
      </c>
    </row>
    <row r="58" spans="1:15" ht="27.75" thickBot="1" x14ac:dyDescent="0.55000000000000004">
      <c r="A58" s="172"/>
      <c r="B58" s="106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72"/>
    </row>
    <row r="59" spans="1:15" ht="31.5" x14ac:dyDescent="0.6">
      <c r="B59" s="209" t="s">
        <v>29</v>
      </c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1"/>
    </row>
    <row r="60" spans="1:15" ht="27" x14ac:dyDescent="0.5">
      <c r="B60" s="291" t="s">
        <v>30</v>
      </c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3"/>
    </row>
    <row r="61" spans="1:15" ht="31.5" x14ac:dyDescent="0.6">
      <c r="B61" s="14" t="s">
        <v>10</v>
      </c>
      <c r="C61" s="226" t="s">
        <v>31</v>
      </c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94"/>
    </row>
    <row r="62" spans="1:15" ht="18" x14ac:dyDescent="0.25">
      <c r="B62" s="14" t="s">
        <v>19</v>
      </c>
      <c r="C62" s="247">
        <v>4</v>
      </c>
      <c r="D62" s="248"/>
      <c r="E62" s="247">
        <v>5</v>
      </c>
      <c r="F62" s="248"/>
      <c r="G62" s="247">
        <v>6</v>
      </c>
      <c r="H62" s="248"/>
      <c r="I62" s="247">
        <v>7</v>
      </c>
      <c r="J62" s="248"/>
      <c r="K62" s="32">
        <v>8</v>
      </c>
      <c r="L62" s="33"/>
      <c r="M62" s="32">
        <v>9</v>
      </c>
      <c r="N62" s="34"/>
    </row>
    <row r="63" spans="1:15" ht="18" x14ac:dyDescent="0.25">
      <c r="B63" s="14" t="s">
        <v>11</v>
      </c>
      <c r="C63" s="27">
        <v>1</v>
      </c>
      <c r="D63" s="28">
        <v>2</v>
      </c>
      <c r="E63" s="28">
        <v>1</v>
      </c>
      <c r="F63" s="28">
        <v>2</v>
      </c>
      <c r="G63" s="28">
        <v>1</v>
      </c>
      <c r="H63" s="28">
        <v>2</v>
      </c>
      <c r="I63" s="28">
        <v>1</v>
      </c>
      <c r="J63" s="28">
        <v>2</v>
      </c>
      <c r="K63" s="28">
        <v>1</v>
      </c>
      <c r="L63" s="28">
        <v>2</v>
      </c>
      <c r="M63" s="28">
        <v>1</v>
      </c>
      <c r="N63" s="29">
        <v>2</v>
      </c>
    </row>
    <row r="64" spans="1:15" ht="27" x14ac:dyDescent="0.5">
      <c r="B64" s="14" t="s">
        <v>12</v>
      </c>
      <c r="C64" s="17">
        <v>612.5</v>
      </c>
      <c r="D64" s="17">
        <v>655.5</v>
      </c>
      <c r="E64" s="17">
        <v>678.5</v>
      </c>
      <c r="F64" s="17">
        <v>724</v>
      </c>
      <c r="G64" s="17">
        <v>759</v>
      </c>
      <c r="H64" s="17">
        <v>810.5</v>
      </c>
      <c r="I64" s="17">
        <v>828.5</v>
      </c>
      <c r="J64" s="17">
        <v>883.5</v>
      </c>
      <c r="K64" s="17">
        <v>927.5</v>
      </c>
      <c r="L64" s="17">
        <v>990</v>
      </c>
      <c r="M64" s="17">
        <v>1038.5</v>
      </c>
      <c r="N64" s="165">
        <v>1109</v>
      </c>
    </row>
    <row r="65" spans="1:15" ht="22.5" x14ac:dyDescent="0.45">
      <c r="B65" s="18" t="s">
        <v>13</v>
      </c>
      <c r="C65" s="274" t="s">
        <v>14</v>
      </c>
      <c r="D65" s="275"/>
      <c r="E65" s="275"/>
      <c r="F65" s="275"/>
      <c r="G65" s="275"/>
      <c r="H65" s="275"/>
      <c r="I65" s="275"/>
      <c r="J65" s="275"/>
      <c r="K65" s="275"/>
      <c r="L65" s="275"/>
      <c r="M65" s="275"/>
      <c r="N65" s="276"/>
    </row>
    <row r="66" spans="1:15" ht="27.75" thickBot="1" x14ac:dyDescent="0.55000000000000004">
      <c r="B66" s="40">
        <v>0.06</v>
      </c>
      <c r="C66" s="38">
        <v>37</v>
      </c>
      <c r="D66" s="38">
        <v>39.5</v>
      </c>
      <c r="E66" s="38">
        <v>41</v>
      </c>
      <c r="F66" s="38">
        <v>43.5</v>
      </c>
      <c r="G66" s="38">
        <v>46</v>
      </c>
      <c r="H66" s="38">
        <v>49</v>
      </c>
      <c r="I66" s="38">
        <v>50</v>
      </c>
      <c r="J66" s="114">
        <f t="shared" ref="J66" si="15">CEILING(J64:U64/100*6,0.5)</f>
        <v>53.5</v>
      </c>
      <c r="K66" s="38">
        <v>56</v>
      </c>
      <c r="L66" s="38">
        <v>59.5</v>
      </c>
      <c r="M66" s="38">
        <v>62.5</v>
      </c>
      <c r="N66" s="39">
        <v>67</v>
      </c>
    </row>
    <row r="67" spans="1:15" ht="27" x14ac:dyDescent="0.5">
      <c r="B67" s="174">
        <v>0.06</v>
      </c>
      <c r="C67" s="114">
        <v>37</v>
      </c>
      <c r="D67" s="114">
        <v>39.5</v>
      </c>
      <c r="E67" s="114">
        <v>41</v>
      </c>
      <c r="F67" s="114">
        <v>43.5</v>
      </c>
      <c r="G67" s="114">
        <v>46</v>
      </c>
      <c r="H67" s="114">
        <v>49</v>
      </c>
      <c r="I67" s="114">
        <v>50</v>
      </c>
      <c r="J67" s="114">
        <v>53.5</v>
      </c>
      <c r="K67" s="114">
        <v>56</v>
      </c>
      <c r="L67" s="114">
        <v>59.5</v>
      </c>
      <c r="M67" s="114">
        <v>62.5</v>
      </c>
      <c r="N67" s="175">
        <v>67</v>
      </c>
    </row>
    <row r="68" spans="1:15" ht="27.75" thickBot="1" x14ac:dyDescent="0.55000000000000004">
      <c r="B68" s="41" t="s">
        <v>20</v>
      </c>
      <c r="C68" s="42">
        <f t="shared" ref="C68:N68" si="16">SUM(C66:C67)</f>
        <v>74</v>
      </c>
      <c r="D68" s="42">
        <f t="shared" si="16"/>
        <v>79</v>
      </c>
      <c r="E68" s="42">
        <f t="shared" si="16"/>
        <v>82</v>
      </c>
      <c r="F68" s="42">
        <f t="shared" si="16"/>
        <v>87</v>
      </c>
      <c r="G68" s="42">
        <f t="shared" si="16"/>
        <v>92</v>
      </c>
      <c r="H68" s="42">
        <f t="shared" si="16"/>
        <v>98</v>
      </c>
      <c r="I68" s="42">
        <f t="shared" si="16"/>
        <v>100</v>
      </c>
      <c r="J68" s="42">
        <f>SUM(J66:J67)</f>
        <v>107</v>
      </c>
      <c r="K68" s="42">
        <f t="shared" si="16"/>
        <v>112</v>
      </c>
      <c r="L68" s="42">
        <f t="shared" si="16"/>
        <v>119</v>
      </c>
      <c r="M68" s="42">
        <f t="shared" si="16"/>
        <v>125</v>
      </c>
      <c r="N68" s="43">
        <f t="shared" si="16"/>
        <v>134</v>
      </c>
    </row>
    <row r="69" spans="1:15" ht="27.75" thickBot="1" x14ac:dyDescent="0.55000000000000004">
      <c r="A69" s="124"/>
      <c r="B69" s="106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24"/>
    </row>
    <row r="70" spans="1:15" ht="31.5" x14ac:dyDescent="0.6">
      <c r="B70" s="209" t="s">
        <v>32</v>
      </c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1"/>
    </row>
    <row r="71" spans="1:15" ht="27" x14ac:dyDescent="0.5">
      <c r="B71" s="277" t="s">
        <v>33</v>
      </c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9"/>
    </row>
    <row r="72" spans="1:15" ht="27" x14ac:dyDescent="0.5">
      <c r="B72" s="280" t="s">
        <v>34</v>
      </c>
      <c r="C72" s="281"/>
      <c r="D72" s="281"/>
      <c r="E72" s="281"/>
      <c r="F72" s="281"/>
      <c r="G72" s="281"/>
      <c r="H72" s="281"/>
      <c r="I72" s="281"/>
      <c r="J72" s="281"/>
      <c r="K72" s="281"/>
      <c r="L72" s="281"/>
      <c r="M72" s="281"/>
      <c r="N72" s="282"/>
    </row>
    <row r="73" spans="1:15" ht="22.5" x14ac:dyDescent="0.45">
      <c r="B73" s="14" t="s">
        <v>10</v>
      </c>
      <c r="C73" s="283" t="s">
        <v>118</v>
      </c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4"/>
    </row>
    <row r="74" spans="1:15" ht="22.5" x14ac:dyDescent="0.45">
      <c r="B74" s="36" t="s">
        <v>19</v>
      </c>
      <c r="C74" s="285">
        <v>9</v>
      </c>
      <c r="D74" s="286"/>
      <c r="E74" s="286"/>
      <c r="F74" s="286"/>
      <c r="G74" s="286"/>
      <c r="H74" s="286"/>
      <c r="I74" s="286"/>
      <c r="J74" s="286"/>
      <c r="K74" s="286"/>
      <c r="L74" s="286"/>
      <c r="M74" s="286"/>
      <c r="N74" s="287"/>
    </row>
    <row r="75" spans="1:15" ht="22.5" x14ac:dyDescent="0.45">
      <c r="B75" s="36" t="s">
        <v>11</v>
      </c>
      <c r="C75" s="288">
        <v>1</v>
      </c>
      <c r="D75" s="289"/>
      <c r="E75" s="289"/>
      <c r="F75" s="289"/>
      <c r="G75" s="289"/>
      <c r="H75" s="289"/>
      <c r="I75" s="289"/>
      <c r="J75" s="289"/>
      <c r="K75" s="289"/>
      <c r="L75" s="289"/>
      <c r="M75" s="289"/>
      <c r="N75" s="290"/>
    </row>
    <row r="76" spans="1:15" ht="22.5" x14ac:dyDescent="0.45">
      <c r="B76" s="36" t="s">
        <v>12</v>
      </c>
      <c r="C76" s="305">
        <v>1038.5</v>
      </c>
      <c r="D76" s="306"/>
      <c r="E76" s="306"/>
      <c r="F76" s="306"/>
      <c r="G76" s="306"/>
      <c r="H76" s="306"/>
      <c r="I76" s="306"/>
      <c r="J76" s="306"/>
      <c r="K76" s="306"/>
      <c r="L76" s="306"/>
      <c r="M76" s="306"/>
      <c r="N76" s="307"/>
    </row>
    <row r="77" spans="1:15" ht="22.5" x14ac:dyDescent="0.45">
      <c r="B77" s="18" t="s">
        <v>13</v>
      </c>
      <c r="C77" s="308" t="s">
        <v>14</v>
      </c>
      <c r="D77" s="309"/>
      <c r="E77" s="309"/>
      <c r="F77" s="309"/>
      <c r="G77" s="309"/>
      <c r="H77" s="309"/>
      <c r="I77" s="309"/>
      <c r="J77" s="309"/>
      <c r="K77" s="309"/>
      <c r="L77" s="309"/>
      <c r="M77" s="309"/>
      <c r="N77" s="310"/>
    </row>
    <row r="78" spans="1:15" ht="22.5" x14ac:dyDescent="0.45">
      <c r="B78" s="36" t="s">
        <v>15</v>
      </c>
      <c r="C78" s="305">
        <f>C76*0.025</f>
        <v>25.962500000000002</v>
      </c>
      <c r="D78" s="306"/>
      <c r="E78" s="306"/>
      <c r="F78" s="306"/>
      <c r="G78" s="306"/>
      <c r="H78" s="306"/>
      <c r="I78" s="306"/>
      <c r="J78" s="306"/>
      <c r="K78" s="306"/>
      <c r="L78" s="306"/>
      <c r="M78" s="306"/>
      <c r="N78" s="307"/>
    </row>
    <row r="79" spans="1:15" ht="23.25" thickBot="1" x14ac:dyDescent="0.5">
      <c r="B79" s="44" t="s">
        <v>16</v>
      </c>
      <c r="C79" s="311">
        <v>26</v>
      </c>
      <c r="D79" s="312"/>
      <c r="E79" s="312"/>
      <c r="F79" s="312"/>
      <c r="G79" s="312"/>
      <c r="H79" s="312"/>
      <c r="I79" s="312"/>
      <c r="J79" s="312"/>
      <c r="K79" s="312"/>
      <c r="L79" s="312"/>
      <c r="M79" s="312"/>
      <c r="N79" s="313"/>
    </row>
    <row r="81" spans="2:17" x14ac:dyDescent="0.25">
      <c r="B81" t="s">
        <v>69</v>
      </c>
      <c r="C81" t="s">
        <v>66</v>
      </c>
    </row>
    <row r="82" spans="2:17" x14ac:dyDescent="0.25">
      <c r="C82" t="s">
        <v>67</v>
      </c>
    </row>
    <row r="83" spans="2:17" x14ac:dyDescent="0.25">
      <c r="C83" t="s">
        <v>68</v>
      </c>
    </row>
    <row r="84" spans="2:17" x14ac:dyDescent="0.25">
      <c r="C84" s="81">
        <v>43467</v>
      </c>
    </row>
    <row r="86" spans="2:17" x14ac:dyDescent="0.25">
      <c r="B86" s="131"/>
    </row>
    <row r="87" spans="2:17" ht="33.75" x14ac:dyDescent="0.25">
      <c r="B87" s="301"/>
      <c r="C87" s="301"/>
      <c r="D87" s="301"/>
      <c r="E87" s="301"/>
      <c r="F87" s="301"/>
      <c r="G87" s="301"/>
      <c r="H87" s="301"/>
      <c r="I87" s="301"/>
      <c r="J87" s="301"/>
      <c r="K87" s="301"/>
      <c r="L87" s="301"/>
      <c r="M87" s="301"/>
      <c r="N87" s="301"/>
      <c r="O87" s="124"/>
      <c r="P87" s="124"/>
      <c r="Q87" s="124"/>
    </row>
    <row r="88" spans="2:17" ht="27" x14ac:dyDescent="0.5">
      <c r="B88" s="302"/>
      <c r="C88" s="302"/>
      <c r="D88" s="302"/>
      <c r="E88" s="302"/>
      <c r="F88" s="302"/>
      <c r="G88" s="302"/>
      <c r="H88" s="302"/>
      <c r="I88" s="302"/>
      <c r="J88" s="302"/>
      <c r="K88" s="125"/>
      <c r="L88" s="126"/>
      <c r="M88" s="115"/>
      <c r="N88" s="115"/>
      <c r="O88" s="124"/>
      <c r="P88" s="124"/>
      <c r="Q88" s="124"/>
    </row>
    <row r="89" spans="2:17" ht="31.5" x14ac:dyDescent="0.6">
      <c r="B89" s="106"/>
      <c r="C89" s="303"/>
      <c r="D89" s="303"/>
      <c r="E89" s="303"/>
      <c r="F89" s="303"/>
      <c r="G89" s="303"/>
      <c r="H89" s="303"/>
      <c r="I89" s="303"/>
      <c r="J89" s="303"/>
      <c r="K89" s="115"/>
      <c r="L89" s="127"/>
      <c r="M89" s="115"/>
      <c r="N89" s="115"/>
      <c r="O89" s="124"/>
      <c r="P89" s="124"/>
      <c r="Q89" s="124"/>
    </row>
    <row r="90" spans="2:17" ht="18.75" x14ac:dyDescent="0.3">
      <c r="B90" s="106"/>
      <c r="C90" s="304"/>
      <c r="D90" s="304"/>
      <c r="E90" s="304"/>
      <c r="F90" s="304"/>
      <c r="G90" s="304"/>
      <c r="H90" s="304"/>
      <c r="I90" s="304"/>
      <c r="J90" s="304"/>
      <c r="K90" s="115"/>
      <c r="L90" s="127"/>
      <c r="M90" s="115"/>
      <c r="N90" s="115"/>
      <c r="O90" s="124"/>
      <c r="P90" s="124"/>
      <c r="Q90" s="124"/>
    </row>
    <row r="91" spans="2:17" ht="18.75" x14ac:dyDescent="0.3">
      <c r="B91" s="106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24"/>
      <c r="P91" s="124"/>
      <c r="Q91" s="124"/>
    </row>
    <row r="92" spans="2:17" ht="27" x14ac:dyDescent="0.5">
      <c r="B92" s="106"/>
      <c r="C92" s="116"/>
      <c r="D92" s="116"/>
      <c r="E92" s="116"/>
      <c r="F92" s="116"/>
      <c r="G92" s="116"/>
      <c r="H92" s="116"/>
      <c r="I92" s="116"/>
      <c r="J92" s="116"/>
      <c r="K92" s="128"/>
      <c r="L92" s="129"/>
      <c r="M92" s="129"/>
      <c r="N92" s="129"/>
      <c r="O92" s="124"/>
      <c r="P92" s="124"/>
      <c r="Q92" s="124"/>
    </row>
    <row r="93" spans="2:17" ht="22.5" x14ac:dyDescent="0.45">
      <c r="B93" s="106"/>
      <c r="C93" s="315"/>
      <c r="D93" s="315"/>
      <c r="E93" s="315"/>
      <c r="F93" s="315"/>
      <c r="G93" s="315"/>
      <c r="H93" s="315"/>
      <c r="I93" s="315"/>
      <c r="J93" s="315"/>
      <c r="K93" s="115"/>
      <c r="L93" s="115"/>
      <c r="M93" s="115"/>
      <c r="N93" s="115"/>
      <c r="O93" s="124"/>
      <c r="P93" s="124"/>
      <c r="Q93" s="124"/>
    </row>
    <row r="94" spans="2:17" ht="18.75" x14ac:dyDescent="0.3">
      <c r="B94" s="106"/>
      <c r="C94" s="108"/>
      <c r="D94" s="108"/>
      <c r="E94" s="108"/>
      <c r="F94" s="108"/>
      <c r="G94" s="108"/>
      <c r="H94" s="108"/>
      <c r="I94" s="108"/>
      <c r="J94" s="108"/>
      <c r="K94" s="115"/>
      <c r="L94" s="115"/>
      <c r="M94" s="115"/>
      <c r="N94" s="115"/>
      <c r="O94" s="124"/>
      <c r="P94" s="124"/>
      <c r="Q94" s="124"/>
    </row>
    <row r="95" spans="2:17" ht="27" x14ac:dyDescent="0.5">
      <c r="B95" s="106"/>
      <c r="C95" s="107"/>
      <c r="D95" s="107"/>
      <c r="E95" s="107"/>
      <c r="F95" s="107"/>
      <c r="G95" s="107"/>
      <c r="H95" s="107"/>
      <c r="I95" s="107"/>
      <c r="J95" s="107"/>
      <c r="K95" s="115"/>
      <c r="L95" s="115"/>
      <c r="M95" s="115"/>
      <c r="N95" s="115"/>
      <c r="O95" s="124"/>
      <c r="P95" s="124"/>
      <c r="Q95" s="124"/>
    </row>
    <row r="96" spans="2:17" ht="18.75" x14ac:dyDescent="0.3"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15"/>
      <c r="N96" s="115"/>
      <c r="O96" s="124"/>
      <c r="P96" s="124"/>
      <c r="Q96" s="124"/>
    </row>
    <row r="97" spans="2:17" ht="27" x14ac:dyDescent="0.5">
      <c r="B97" s="302"/>
      <c r="C97" s="302"/>
      <c r="D97" s="302"/>
      <c r="E97" s="302"/>
      <c r="F97" s="302"/>
      <c r="G97" s="302"/>
      <c r="H97" s="302"/>
      <c r="I97" s="302"/>
      <c r="J97" s="302"/>
      <c r="K97" s="302"/>
      <c r="L97" s="302"/>
      <c r="M97" s="115"/>
      <c r="N97" s="115"/>
      <c r="O97" s="124"/>
      <c r="P97" s="124"/>
      <c r="Q97" s="124"/>
    </row>
    <row r="98" spans="2:17" ht="26.25" x14ac:dyDescent="0.4">
      <c r="B98" s="106"/>
      <c r="C98" s="316"/>
      <c r="D98" s="316"/>
      <c r="E98" s="316"/>
      <c r="F98" s="316"/>
      <c r="G98" s="316"/>
      <c r="H98" s="316"/>
      <c r="I98" s="316"/>
      <c r="J98" s="316"/>
      <c r="K98" s="316"/>
      <c r="L98" s="316"/>
      <c r="M98" s="115"/>
      <c r="N98" s="115"/>
      <c r="O98" s="124"/>
      <c r="P98" s="124"/>
      <c r="Q98" s="124"/>
    </row>
    <row r="99" spans="2:17" ht="18.75" x14ac:dyDescent="0.3">
      <c r="B99" s="106"/>
      <c r="C99" s="304"/>
      <c r="D99" s="304"/>
      <c r="E99" s="304"/>
      <c r="F99" s="304"/>
      <c r="G99" s="304"/>
      <c r="H99" s="304"/>
      <c r="I99" s="304"/>
      <c r="J99" s="304"/>
      <c r="K99" s="304"/>
      <c r="L99" s="304"/>
      <c r="M99" s="115"/>
      <c r="N99" s="115"/>
      <c r="O99" s="124"/>
      <c r="P99" s="124"/>
      <c r="Q99" s="124"/>
    </row>
    <row r="100" spans="2:17" ht="18.75" x14ac:dyDescent="0.3">
      <c r="B100" s="106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24"/>
      <c r="P100" s="124"/>
      <c r="Q100" s="124"/>
    </row>
    <row r="101" spans="2:17" ht="27" x14ac:dyDescent="0.5">
      <c r="B101" s="10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5"/>
      <c r="N101" s="115"/>
      <c r="O101" s="124"/>
      <c r="P101" s="124"/>
      <c r="Q101" s="124"/>
    </row>
    <row r="102" spans="2:17" ht="18" x14ac:dyDescent="0.25">
      <c r="B102" s="106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06"/>
      <c r="N102" s="106"/>
      <c r="O102" s="124"/>
      <c r="P102" s="124"/>
      <c r="Q102" s="124"/>
    </row>
    <row r="103" spans="2:17" ht="18.75" x14ac:dyDescent="0.3">
      <c r="B103" s="106"/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15"/>
      <c r="N103" s="115"/>
      <c r="O103" s="124"/>
      <c r="P103" s="124"/>
      <c r="Q103" s="124"/>
    </row>
    <row r="104" spans="2:17" ht="18.75" x14ac:dyDescent="0.3">
      <c r="B104" s="106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  <c r="M104" s="115"/>
      <c r="N104" s="115"/>
      <c r="O104" s="124"/>
      <c r="P104" s="124"/>
      <c r="Q104" s="124"/>
    </row>
    <row r="105" spans="2:17" ht="27" x14ac:dyDescent="0.5">
      <c r="B105" s="106"/>
      <c r="C105" s="111"/>
      <c r="D105" s="112"/>
      <c r="E105" s="111"/>
      <c r="F105" s="112"/>
      <c r="G105" s="111"/>
      <c r="H105" s="112"/>
      <c r="I105" s="111"/>
      <c r="J105" s="112"/>
      <c r="K105" s="111"/>
      <c r="L105" s="112"/>
      <c r="M105" s="115"/>
      <c r="N105" s="115"/>
      <c r="O105" s="124"/>
      <c r="P105" s="124"/>
      <c r="Q105" s="124"/>
    </row>
    <row r="106" spans="2:17" ht="18.75" x14ac:dyDescent="0.3">
      <c r="B106" s="117"/>
      <c r="C106" s="109"/>
      <c r="D106" s="110"/>
      <c r="E106" s="109"/>
      <c r="F106" s="110"/>
      <c r="G106" s="109"/>
      <c r="H106" s="110"/>
      <c r="I106" s="109"/>
      <c r="J106" s="110"/>
      <c r="K106" s="109"/>
      <c r="L106" s="110"/>
      <c r="M106" s="115"/>
      <c r="N106" s="115"/>
      <c r="O106" s="124"/>
      <c r="P106" s="124"/>
      <c r="Q106" s="124"/>
    </row>
    <row r="107" spans="2:17" ht="27" x14ac:dyDescent="0.5">
      <c r="B107" s="302"/>
      <c r="C107" s="302"/>
      <c r="D107" s="302"/>
      <c r="E107" s="302"/>
      <c r="F107" s="302"/>
      <c r="G107" s="302"/>
      <c r="H107" s="302"/>
      <c r="I107" s="302"/>
      <c r="J107" s="302"/>
      <c r="K107" s="302"/>
      <c r="L107" s="302"/>
      <c r="M107" s="115"/>
      <c r="N107" s="115"/>
      <c r="O107" s="124"/>
      <c r="P107" s="124"/>
      <c r="Q107" s="124"/>
    </row>
    <row r="108" spans="2:17" ht="26.25" x14ac:dyDescent="0.4">
      <c r="B108" s="106"/>
      <c r="C108" s="314"/>
      <c r="D108" s="314"/>
      <c r="E108" s="314"/>
      <c r="F108" s="314"/>
      <c r="G108" s="314"/>
      <c r="H108" s="314"/>
      <c r="I108" s="314"/>
      <c r="J108" s="314"/>
      <c r="K108" s="314"/>
      <c r="L108" s="314"/>
      <c r="M108" s="106"/>
      <c r="N108" s="106"/>
      <c r="O108" s="124"/>
      <c r="P108" s="124"/>
      <c r="Q108" s="124"/>
    </row>
    <row r="109" spans="2:17" ht="18" x14ac:dyDescent="0.25">
      <c r="B109" s="106"/>
      <c r="C109" s="304"/>
      <c r="D109" s="304"/>
      <c r="E109" s="304"/>
      <c r="F109" s="304"/>
      <c r="G109" s="304"/>
      <c r="H109" s="304"/>
      <c r="I109" s="304"/>
      <c r="J109" s="304"/>
      <c r="K109" s="304"/>
      <c r="L109" s="304"/>
      <c r="M109" s="106"/>
      <c r="N109" s="106"/>
      <c r="O109" s="124"/>
      <c r="P109" s="124"/>
      <c r="Q109" s="124"/>
    </row>
    <row r="110" spans="2:17" ht="18" x14ac:dyDescent="0.25"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24"/>
      <c r="P110" s="124"/>
      <c r="Q110" s="124"/>
    </row>
    <row r="111" spans="2:17" ht="27" x14ac:dyDescent="0.5">
      <c r="B111" s="106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06"/>
      <c r="N111" s="106"/>
      <c r="O111" s="124"/>
      <c r="P111" s="124"/>
      <c r="Q111" s="124"/>
    </row>
    <row r="112" spans="2:17" ht="18" x14ac:dyDescent="0.25">
      <c r="B112" s="106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06"/>
      <c r="N112" s="106"/>
      <c r="O112" s="124"/>
      <c r="P112" s="124"/>
      <c r="Q112" s="124"/>
    </row>
    <row r="113" spans="2:17" ht="18" x14ac:dyDescent="0.25">
      <c r="B113" s="106"/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6"/>
      <c r="N113" s="106"/>
      <c r="O113" s="124"/>
      <c r="P113" s="124"/>
      <c r="Q113" s="124"/>
    </row>
    <row r="114" spans="2:17" ht="18" x14ac:dyDescent="0.25">
      <c r="B114" s="106"/>
      <c r="C114" s="109"/>
      <c r="D114" s="109"/>
      <c r="E114" s="109"/>
      <c r="F114" s="109"/>
      <c r="G114" s="109"/>
      <c r="H114" s="109"/>
      <c r="I114" s="109"/>
      <c r="J114" s="109"/>
      <c r="K114" s="109"/>
      <c r="L114" s="109"/>
      <c r="M114" s="106"/>
      <c r="N114" s="106"/>
      <c r="O114" s="124"/>
      <c r="P114" s="124"/>
      <c r="Q114" s="124"/>
    </row>
    <row r="115" spans="2:17" ht="27" x14ac:dyDescent="0.5">
      <c r="B115" s="106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06"/>
      <c r="N115" s="106"/>
      <c r="O115" s="124"/>
      <c r="P115" s="124"/>
      <c r="Q115" s="124"/>
    </row>
    <row r="116" spans="2:17" ht="18" x14ac:dyDescent="0.25">
      <c r="B116" s="120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24"/>
      <c r="P116" s="124"/>
      <c r="Q116" s="124"/>
    </row>
    <row r="117" spans="2:17" ht="27" x14ac:dyDescent="0.5">
      <c r="B117" s="317"/>
      <c r="C117" s="317"/>
      <c r="D117" s="317"/>
      <c r="E117" s="317"/>
      <c r="F117" s="317"/>
      <c r="G117" s="317"/>
      <c r="H117" s="317"/>
      <c r="I117" s="317"/>
      <c r="J117" s="317"/>
      <c r="K117" s="317"/>
      <c r="L117" s="317"/>
      <c r="M117" s="317"/>
      <c r="N117" s="317"/>
      <c r="O117" s="124"/>
      <c r="P117" s="124"/>
      <c r="Q117" s="124"/>
    </row>
    <row r="118" spans="2:17" ht="26.25" x14ac:dyDescent="0.4">
      <c r="B118" s="106"/>
      <c r="C118" s="314"/>
      <c r="D118" s="314"/>
      <c r="E118" s="314"/>
      <c r="F118" s="314"/>
      <c r="G118" s="314"/>
      <c r="H118" s="314"/>
      <c r="I118" s="314"/>
      <c r="J118" s="314"/>
      <c r="K118" s="314"/>
      <c r="L118" s="314"/>
      <c r="M118" s="314"/>
      <c r="N118" s="314"/>
      <c r="O118" s="124"/>
      <c r="P118" s="124"/>
      <c r="Q118" s="124"/>
    </row>
    <row r="119" spans="2:17" ht="18" x14ac:dyDescent="0.25">
      <c r="B119" s="106"/>
      <c r="C119" s="304"/>
      <c r="D119" s="304"/>
      <c r="E119" s="304"/>
      <c r="F119" s="304"/>
      <c r="G119" s="304"/>
      <c r="H119" s="304"/>
      <c r="I119" s="304"/>
      <c r="J119" s="304"/>
      <c r="K119" s="121"/>
      <c r="L119" s="121"/>
      <c r="M119" s="121"/>
      <c r="N119" s="121"/>
      <c r="O119" s="124"/>
      <c r="P119" s="124"/>
      <c r="Q119" s="124"/>
    </row>
    <row r="120" spans="2:17" ht="18" x14ac:dyDescent="0.25"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24"/>
      <c r="P120" s="124"/>
      <c r="Q120" s="124"/>
    </row>
    <row r="121" spans="2:17" ht="27" x14ac:dyDescent="0.5">
      <c r="B121" s="10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24"/>
      <c r="P121" s="124"/>
      <c r="Q121" s="124"/>
    </row>
    <row r="122" spans="2:17" ht="18" x14ac:dyDescent="0.25">
      <c r="B122" s="106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24"/>
      <c r="P122" s="124"/>
      <c r="Q122" s="124"/>
    </row>
    <row r="123" spans="2:17" ht="18" x14ac:dyDescent="0.25">
      <c r="B123" s="106"/>
      <c r="C123" s="109"/>
      <c r="D123" s="109"/>
      <c r="E123" s="109"/>
      <c r="F123" s="109"/>
      <c r="G123" s="109"/>
      <c r="H123" s="109"/>
      <c r="I123" s="109"/>
      <c r="J123" s="109"/>
      <c r="K123" s="109"/>
      <c r="L123" s="109"/>
      <c r="M123" s="109"/>
      <c r="N123" s="109"/>
      <c r="O123" s="124"/>
      <c r="P123" s="124"/>
      <c r="Q123" s="124"/>
    </row>
    <row r="124" spans="2:17" ht="18" x14ac:dyDescent="0.25">
      <c r="B124" s="106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  <c r="N124" s="109"/>
      <c r="O124" s="124"/>
      <c r="P124" s="124"/>
      <c r="Q124" s="124"/>
    </row>
    <row r="125" spans="2:17" ht="27" x14ac:dyDescent="0.5">
      <c r="B125" s="106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24"/>
      <c r="P125" s="124"/>
      <c r="Q125" s="124"/>
    </row>
    <row r="126" spans="2:17" ht="22.5" x14ac:dyDescent="0.45">
      <c r="B126" s="122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24"/>
      <c r="P126" s="124"/>
      <c r="Q126" s="124"/>
    </row>
    <row r="127" spans="2:17" ht="27" x14ac:dyDescent="0.5">
      <c r="B127" s="302"/>
      <c r="C127" s="302"/>
      <c r="D127" s="302"/>
      <c r="E127" s="302"/>
      <c r="F127" s="302"/>
      <c r="G127" s="302"/>
      <c r="H127" s="302"/>
      <c r="I127" s="302"/>
      <c r="J127" s="302"/>
      <c r="K127" s="302"/>
      <c r="L127" s="302"/>
      <c r="M127" s="302"/>
      <c r="N127" s="302"/>
      <c r="O127" s="124"/>
      <c r="P127" s="124"/>
      <c r="Q127" s="124"/>
    </row>
    <row r="128" spans="2:17" ht="26.25" x14ac:dyDescent="0.4">
      <c r="B128" s="106"/>
      <c r="C128" s="314"/>
      <c r="D128" s="314"/>
      <c r="E128" s="314"/>
      <c r="F128" s="314"/>
      <c r="G128" s="314"/>
      <c r="H128" s="314"/>
      <c r="I128" s="314"/>
      <c r="J128" s="314"/>
      <c r="K128" s="314"/>
      <c r="L128" s="314"/>
      <c r="M128" s="314"/>
      <c r="N128" s="314"/>
      <c r="O128" s="124"/>
      <c r="P128" s="124"/>
      <c r="Q128" s="124"/>
    </row>
    <row r="129" spans="2:17" ht="18" x14ac:dyDescent="0.25">
      <c r="B129" s="106"/>
      <c r="C129" s="304"/>
      <c r="D129" s="304"/>
      <c r="E129" s="304"/>
      <c r="F129" s="304"/>
      <c r="G129" s="304"/>
      <c r="H129" s="304"/>
      <c r="I129" s="304"/>
      <c r="J129" s="304"/>
      <c r="K129" s="121"/>
      <c r="L129" s="121"/>
      <c r="M129" s="121"/>
      <c r="N129" s="121"/>
      <c r="O129" s="124"/>
      <c r="P129" s="124"/>
      <c r="Q129" s="124"/>
    </row>
    <row r="130" spans="2:17" ht="18" x14ac:dyDescent="0.25"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24"/>
      <c r="P130" s="124"/>
      <c r="Q130" s="124"/>
    </row>
    <row r="131" spans="2:17" ht="27" x14ac:dyDescent="0.5">
      <c r="B131" s="106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24"/>
      <c r="P131" s="124"/>
      <c r="Q131" s="124"/>
    </row>
    <row r="132" spans="2:17" ht="18" x14ac:dyDescent="0.25">
      <c r="B132" s="106"/>
      <c r="C132" s="119"/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24"/>
      <c r="P132" s="124"/>
      <c r="Q132" s="124"/>
    </row>
    <row r="133" spans="2:17" ht="18" x14ac:dyDescent="0.25">
      <c r="B133" s="106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24"/>
      <c r="P133" s="124"/>
      <c r="Q133" s="124"/>
    </row>
    <row r="134" spans="2:17" ht="18" x14ac:dyDescent="0.25">
      <c r="B134" s="106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24"/>
      <c r="P134" s="124"/>
      <c r="Q134" s="124"/>
    </row>
    <row r="135" spans="2:17" ht="27" x14ac:dyDescent="0.5">
      <c r="B135" s="106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24"/>
      <c r="P135" s="124"/>
      <c r="Q135" s="124"/>
    </row>
    <row r="136" spans="2:17" ht="22.5" x14ac:dyDescent="0.45">
      <c r="B136" s="122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6"/>
      <c r="N136" s="106"/>
      <c r="O136" s="124"/>
      <c r="P136" s="124"/>
      <c r="Q136" s="124"/>
    </row>
    <row r="137" spans="2:17" ht="27" x14ac:dyDescent="0.5">
      <c r="B137" s="302"/>
      <c r="C137" s="302"/>
      <c r="D137" s="302"/>
      <c r="E137" s="302"/>
      <c r="F137" s="302"/>
      <c r="G137" s="302"/>
      <c r="H137" s="302"/>
      <c r="I137" s="302"/>
      <c r="J137" s="302"/>
      <c r="K137" s="302"/>
      <c r="L137" s="302"/>
      <c r="M137" s="302"/>
      <c r="N137" s="302"/>
      <c r="O137" s="124"/>
      <c r="P137" s="124"/>
      <c r="Q137" s="124"/>
    </row>
    <row r="138" spans="2:17" ht="26.25" x14ac:dyDescent="0.4">
      <c r="B138" s="106"/>
      <c r="C138" s="314"/>
      <c r="D138" s="314"/>
      <c r="E138" s="314"/>
      <c r="F138" s="314"/>
      <c r="G138" s="314"/>
      <c r="H138" s="314"/>
      <c r="I138" s="314"/>
      <c r="J138" s="314"/>
      <c r="K138" s="314"/>
      <c r="L138" s="314"/>
      <c r="M138" s="314"/>
      <c r="N138" s="314"/>
      <c r="O138" s="124"/>
      <c r="P138" s="124"/>
      <c r="Q138" s="124"/>
    </row>
    <row r="139" spans="2:17" ht="18" x14ac:dyDescent="0.25">
      <c r="B139" s="106"/>
      <c r="C139" s="304"/>
      <c r="D139" s="304"/>
      <c r="E139" s="304"/>
      <c r="F139" s="304"/>
      <c r="G139" s="304"/>
      <c r="H139" s="304"/>
      <c r="I139" s="304"/>
      <c r="J139" s="304"/>
      <c r="K139" s="121"/>
      <c r="L139" s="121"/>
      <c r="M139" s="121"/>
      <c r="N139" s="121"/>
      <c r="O139" s="124"/>
      <c r="P139" s="124"/>
      <c r="Q139" s="124"/>
    </row>
    <row r="140" spans="2:17" ht="18" x14ac:dyDescent="0.25">
      <c r="B140" s="106"/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24"/>
      <c r="P140" s="124"/>
      <c r="Q140" s="124"/>
    </row>
    <row r="141" spans="2:17" ht="27" x14ac:dyDescent="0.5">
      <c r="B141" s="10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24"/>
      <c r="P141" s="124"/>
      <c r="Q141" s="124"/>
    </row>
    <row r="142" spans="2:17" ht="22.5" x14ac:dyDescent="0.45">
      <c r="B142" s="106"/>
      <c r="C142" s="318"/>
      <c r="D142" s="318"/>
      <c r="E142" s="318"/>
      <c r="F142" s="318"/>
      <c r="G142" s="318"/>
      <c r="H142" s="318"/>
      <c r="I142" s="318"/>
      <c r="J142" s="318"/>
      <c r="K142" s="318"/>
      <c r="L142" s="318"/>
      <c r="M142" s="318"/>
      <c r="N142" s="318"/>
      <c r="O142" s="124"/>
      <c r="P142" s="124"/>
      <c r="Q142" s="124"/>
    </row>
    <row r="143" spans="2:17" ht="18" x14ac:dyDescent="0.25">
      <c r="B143" s="106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24"/>
      <c r="P143" s="124"/>
      <c r="Q143" s="124"/>
    </row>
    <row r="144" spans="2:17" ht="27" x14ac:dyDescent="0.5">
      <c r="B144" s="106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24"/>
      <c r="P144" s="124"/>
      <c r="Q144" s="124"/>
    </row>
    <row r="145" spans="2:17" ht="22.5" x14ac:dyDescent="0.45">
      <c r="B145" s="122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24"/>
      <c r="P145" s="124"/>
      <c r="Q145" s="124"/>
    </row>
    <row r="146" spans="2:17" ht="27" x14ac:dyDescent="0.5">
      <c r="B146" s="302"/>
      <c r="C146" s="302"/>
      <c r="D146" s="302"/>
      <c r="E146" s="302"/>
      <c r="F146" s="302"/>
      <c r="G146" s="302"/>
      <c r="H146" s="302"/>
      <c r="I146" s="302"/>
      <c r="J146" s="302"/>
      <c r="K146" s="302"/>
      <c r="L146" s="302"/>
      <c r="M146" s="302"/>
      <c r="N146" s="302"/>
      <c r="O146" s="124"/>
      <c r="P146" s="124"/>
      <c r="Q146" s="124"/>
    </row>
    <row r="147" spans="2:17" ht="31.5" x14ac:dyDescent="0.6">
      <c r="B147" s="106"/>
      <c r="C147" s="303"/>
      <c r="D147" s="303"/>
      <c r="E147" s="303"/>
      <c r="F147" s="303"/>
      <c r="G147" s="303"/>
      <c r="H147" s="303"/>
      <c r="I147" s="303"/>
      <c r="J147" s="303"/>
      <c r="K147" s="303"/>
      <c r="L147" s="303"/>
      <c r="M147" s="303"/>
      <c r="N147" s="303"/>
      <c r="O147" s="124"/>
      <c r="P147" s="124"/>
      <c r="Q147" s="124"/>
    </row>
    <row r="148" spans="2:17" ht="18" x14ac:dyDescent="0.25">
      <c r="B148" s="106"/>
      <c r="C148" s="304"/>
      <c r="D148" s="304"/>
      <c r="E148" s="304"/>
      <c r="F148" s="304"/>
      <c r="G148" s="304"/>
      <c r="H148" s="304"/>
      <c r="I148" s="304"/>
      <c r="J148" s="304"/>
      <c r="K148" s="121"/>
      <c r="L148" s="121"/>
      <c r="M148" s="121"/>
      <c r="N148" s="121"/>
      <c r="O148" s="124"/>
      <c r="P148" s="124"/>
      <c r="Q148" s="124"/>
    </row>
    <row r="149" spans="2:17" ht="18" x14ac:dyDescent="0.25">
      <c r="B149" s="106"/>
      <c r="C149" s="106"/>
      <c r="D149" s="106"/>
      <c r="E149" s="106"/>
      <c r="F149" s="106"/>
      <c r="G149" s="106"/>
      <c r="H149" s="106"/>
      <c r="I149" s="106"/>
      <c r="J149" s="106"/>
      <c r="K149" s="106"/>
      <c r="L149" s="106"/>
      <c r="M149" s="106"/>
      <c r="N149" s="106"/>
      <c r="O149" s="124"/>
      <c r="P149" s="124"/>
      <c r="Q149" s="124"/>
    </row>
    <row r="150" spans="2:17" ht="27" x14ac:dyDescent="0.5">
      <c r="B150" s="10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24"/>
      <c r="P150" s="124"/>
      <c r="Q150" s="124"/>
    </row>
    <row r="151" spans="2:17" ht="22.5" x14ac:dyDescent="0.45">
      <c r="B151" s="106"/>
      <c r="C151" s="318"/>
      <c r="D151" s="318"/>
      <c r="E151" s="318"/>
      <c r="F151" s="318"/>
      <c r="G151" s="318"/>
      <c r="H151" s="318"/>
      <c r="I151" s="318"/>
      <c r="J151" s="318"/>
      <c r="K151" s="318"/>
      <c r="L151" s="318"/>
      <c r="M151" s="318"/>
      <c r="N151" s="318"/>
      <c r="O151" s="124"/>
      <c r="P151" s="124"/>
      <c r="Q151" s="124"/>
    </row>
    <row r="152" spans="2:17" ht="27" x14ac:dyDescent="0.5">
      <c r="B152" s="12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24"/>
      <c r="P152" s="124"/>
      <c r="Q152" s="124"/>
    </row>
    <row r="153" spans="2:17" ht="27" x14ac:dyDescent="0.5">
      <c r="B153" s="12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24"/>
      <c r="P153" s="124"/>
      <c r="Q153" s="124"/>
    </row>
    <row r="154" spans="2:17" ht="27" x14ac:dyDescent="0.5">
      <c r="B154" s="106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24"/>
      <c r="P154" s="124"/>
      <c r="Q154" s="124"/>
    </row>
    <row r="155" spans="2:17" ht="22.5" x14ac:dyDescent="0.45">
      <c r="B155" s="122"/>
      <c r="C155" s="106"/>
      <c r="D155" s="106"/>
      <c r="E155" s="106"/>
      <c r="F155" s="106"/>
      <c r="G155" s="106"/>
      <c r="H155" s="106"/>
      <c r="I155" s="106"/>
      <c r="J155" s="106"/>
      <c r="K155" s="106"/>
      <c r="L155" s="106"/>
      <c r="M155" s="106"/>
      <c r="N155" s="106"/>
      <c r="O155" s="124"/>
      <c r="P155" s="124"/>
      <c r="Q155" s="124"/>
    </row>
    <row r="156" spans="2:17" ht="27" x14ac:dyDescent="0.5">
      <c r="B156" s="320"/>
      <c r="C156" s="320"/>
      <c r="D156" s="320"/>
      <c r="E156" s="320"/>
      <c r="F156" s="320"/>
      <c r="G156" s="320"/>
      <c r="H156" s="320"/>
      <c r="I156" s="320"/>
      <c r="J156" s="320"/>
      <c r="K156" s="320"/>
      <c r="L156" s="320"/>
      <c r="M156" s="320"/>
      <c r="N156" s="320"/>
      <c r="O156" s="124"/>
      <c r="P156" s="124"/>
      <c r="Q156" s="124"/>
    </row>
    <row r="157" spans="2:17" ht="27" x14ac:dyDescent="0.5">
      <c r="B157" s="320"/>
      <c r="C157" s="320"/>
      <c r="D157" s="320"/>
      <c r="E157" s="320"/>
      <c r="F157" s="320"/>
      <c r="G157" s="320"/>
      <c r="H157" s="320"/>
      <c r="I157" s="320"/>
      <c r="J157" s="320"/>
      <c r="K157" s="320"/>
      <c r="L157" s="320"/>
      <c r="M157" s="320"/>
      <c r="N157" s="320"/>
      <c r="O157" s="124"/>
      <c r="P157" s="124"/>
      <c r="Q157" s="124"/>
    </row>
    <row r="158" spans="2:17" ht="22.5" x14ac:dyDescent="0.45">
      <c r="B158" s="106"/>
      <c r="C158" s="321"/>
      <c r="D158" s="321"/>
      <c r="E158" s="321"/>
      <c r="F158" s="321"/>
      <c r="G158" s="321"/>
      <c r="H158" s="321"/>
      <c r="I158" s="321"/>
      <c r="J158" s="321"/>
      <c r="K158" s="321"/>
      <c r="L158" s="321"/>
      <c r="M158" s="321"/>
      <c r="N158" s="321"/>
      <c r="O158" s="124"/>
      <c r="P158" s="124"/>
      <c r="Q158" s="124"/>
    </row>
    <row r="159" spans="2:17" ht="22.5" x14ac:dyDescent="0.45">
      <c r="B159" s="106"/>
      <c r="C159" s="322"/>
      <c r="D159" s="322"/>
      <c r="E159" s="322"/>
      <c r="F159" s="322"/>
      <c r="G159" s="322"/>
      <c r="H159" s="322"/>
      <c r="I159" s="322"/>
      <c r="J159" s="322"/>
      <c r="K159" s="322"/>
      <c r="L159" s="322"/>
      <c r="M159" s="322"/>
      <c r="N159" s="322"/>
      <c r="O159" s="124"/>
      <c r="P159" s="124"/>
      <c r="Q159" s="124"/>
    </row>
    <row r="160" spans="2:17" ht="22.5" x14ac:dyDescent="0.45">
      <c r="B160" s="106"/>
      <c r="C160" s="319"/>
      <c r="D160" s="319"/>
      <c r="E160" s="319"/>
      <c r="F160" s="319"/>
      <c r="G160" s="319"/>
      <c r="H160" s="319"/>
      <c r="I160" s="319"/>
      <c r="J160" s="319"/>
      <c r="K160" s="319"/>
      <c r="L160" s="319"/>
      <c r="M160" s="319"/>
      <c r="N160" s="319"/>
      <c r="O160" s="124"/>
      <c r="P160" s="124"/>
      <c r="Q160" s="124"/>
    </row>
    <row r="161" spans="2:17" ht="22.5" x14ac:dyDescent="0.45">
      <c r="B161" s="106"/>
      <c r="C161" s="318"/>
      <c r="D161" s="318"/>
      <c r="E161" s="318"/>
      <c r="F161" s="318"/>
      <c r="G161" s="318"/>
      <c r="H161" s="318"/>
      <c r="I161" s="318"/>
      <c r="J161" s="318"/>
      <c r="K161" s="318"/>
      <c r="L161" s="318"/>
      <c r="M161" s="318"/>
      <c r="N161" s="318"/>
      <c r="O161" s="124"/>
      <c r="P161" s="124"/>
      <c r="Q161" s="124"/>
    </row>
    <row r="162" spans="2:17" ht="22.5" x14ac:dyDescent="0.45">
      <c r="B162" s="106"/>
      <c r="C162" s="318"/>
      <c r="D162" s="318"/>
      <c r="E162" s="318"/>
      <c r="F162" s="318"/>
      <c r="G162" s="318"/>
      <c r="H162" s="318"/>
      <c r="I162" s="318"/>
      <c r="J162" s="318"/>
      <c r="K162" s="318"/>
      <c r="L162" s="318"/>
      <c r="M162" s="318"/>
      <c r="N162" s="318"/>
      <c r="O162" s="124"/>
      <c r="P162" s="124"/>
      <c r="Q162" s="124"/>
    </row>
    <row r="163" spans="2:17" ht="22.5" x14ac:dyDescent="0.45">
      <c r="B163" s="106"/>
      <c r="C163" s="318"/>
      <c r="D163" s="318"/>
      <c r="E163" s="318"/>
      <c r="F163" s="318"/>
      <c r="G163" s="318"/>
      <c r="H163" s="318"/>
      <c r="I163" s="318"/>
      <c r="J163" s="318"/>
      <c r="K163" s="318"/>
      <c r="L163" s="318"/>
      <c r="M163" s="318"/>
      <c r="N163" s="318"/>
      <c r="O163" s="124"/>
      <c r="P163" s="124"/>
      <c r="Q163" s="124"/>
    </row>
    <row r="164" spans="2:17" ht="22.5" x14ac:dyDescent="0.45">
      <c r="B164" s="106"/>
      <c r="C164" s="318"/>
      <c r="D164" s="318"/>
      <c r="E164" s="318"/>
      <c r="F164" s="318"/>
      <c r="G164" s="318"/>
      <c r="H164" s="318"/>
      <c r="I164" s="318"/>
      <c r="J164" s="318"/>
      <c r="K164" s="318"/>
      <c r="L164" s="318"/>
      <c r="M164" s="318"/>
      <c r="N164" s="318"/>
      <c r="O164" s="124"/>
      <c r="P164" s="124"/>
      <c r="Q164" s="124"/>
    </row>
    <row r="165" spans="2:17" x14ac:dyDescent="0.25">
      <c r="B165" s="124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</row>
    <row r="166" spans="2:17" x14ac:dyDescent="0.25">
      <c r="B166" s="124"/>
      <c r="C166" s="124"/>
      <c r="D166" s="124"/>
      <c r="E166" s="124"/>
      <c r="F166" s="124"/>
      <c r="G166" s="124"/>
      <c r="H166" s="124"/>
      <c r="I166" s="124"/>
      <c r="J166" s="124"/>
      <c r="K166" s="124"/>
      <c r="L166" s="124"/>
      <c r="M166" s="124"/>
      <c r="N166" s="124"/>
      <c r="O166" s="124"/>
      <c r="P166" s="124"/>
      <c r="Q166" s="124"/>
    </row>
    <row r="167" spans="2:17" x14ac:dyDescent="0.25">
      <c r="B167" s="124"/>
      <c r="C167" s="124"/>
      <c r="D167" s="124"/>
      <c r="E167" s="124"/>
      <c r="F167" s="124"/>
      <c r="G167" s="124"/>
      <c r="H167" s="124"/>
      <c r="I167" s="124"/>
      <c r="J167" s="124"/>
      <c r="K167" s="124"/>
      <c r="L167" s="124"/>
      <c r="M167" s="124"/>
      <c r="N167" s="124"/>
      <c r="O167" s="124"/>
      <c r="P167" s="124"/>
      <c r="Q167" s="124"/>
    </row>
    <row r="168" spans="2:17" x14ac:dyDescent="0.25">
      <c r="B168" s="124"/>
      <c r="C168" s="124"/>
      <c r="D168" s="124"/>
      <c r="E168" s="124"/>
      <c r="F168" s="124"/>
      <c r="G168" s="124"/>
      <c r="H168" s="124"/>
      <c r="I168" s="124"/>
      <c r="J168" s="124"/>
      <c r="K168" s="124"/>
      <c r="L168" s="124"/>
      <c r="M168" s="124"/>
      <c r="N168" s="124"/>
      <c r="O168" s="124"/>
      <c r="P168" s="124"/>
      <c r="Q168" s="124"/>
    </row>
    <row r="169" spans="2:17" x14ac:dyDescent="0.25">
      <c r="B169" s="124"/>
      <c r="C169" s="130"/>
      <c r="D169" s="124"/>
      <c r="E169" s="124"/>
      <c r="F169" s="124"/>
      <c r="G169" s="124"/>
      <c r="H169" s="124"/>
      <c r="I169" s="124"/>
      <c r="J169" s="124"/>
      <c r="K169" s="124"/>
      <c r="L169" s="124"/>
      <c r="M169" s="124"/>
      <c r="N169" s="124"/>
      <c r="O169" s="124"/>
      <c r="P169" s="124"/>
      <c r="Q169" s="124"/>
    </row>
    <row r="170" spans="2:17" x14ac:dyDescent="0.25">
      <c r="B170" s="124"/>
      <c r="C170" s="124"/>
      <c r="D170" s="124"/>
      <c r="E170" s="124"/>
      <c r="F170" s="124"/>
      <c r="G170" s="124"/>
      <c r="H170" s="124"/>
      <c r="I170" s="124"/>
      <c r="J170" s="124"/>
      <c r="K170" s="124"/>
      <c r="L170" s="124"/>
      <c r="M170" s="124"/>
      <c r="N170" s="124"/>
      <c r="O170" s="124"/>
      <c r="P170" s="124"/>
      <c r="Q170" s="124"/>
    </row>
    <row r="171" spans="2:17" x14ac:dyDescent="0.25">
      <c r="B171" s="124"/>
      <c r="C171" s="124"/>
      <c r="D171" s="124"/>
      <c r="E171" s="124"/>
      <c r="F171" s="124"/>
      <c r="G171" s="124"/>
      <c r="H171" s="124"/>
      <c r="I171" s="124"/>
      <c r="J171" s="124"/>
      <c r="K171" s="124"/>
      <c r="L171" s="124"/>
      <c r="M171" s="124"/>
      <c r="N171" s="124"/>
      <c r="O171" s="124"/>
      <c r="P171" s="124"/>
      <c r="Q171" s="124"/>
    </row>
    <row r="172" spans="2:17" x14ac:dyDescent="0.25"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24"/>
      <c r="Q172" s="124"/>
    </row>
    <row r="173" spans="2:17" x14ac:dyDescent="0.25">
      <c r="B173" s="124"/>
      <c r="C173" s="124"/>
      <c r="D173" s="124"/>
      <c r="E173" s="124"/>
      <c r="F173" s="124"/>
      <c r="G173" s="124"/>
      <c r="H173" s="124"/>
      <c r="I173" s="124"/>
      <c r="J173" s="124"/>
      <c r="K173" s="124"/>
      <c r="L173" s="124"/>
      <c r="M173" s="124"/>
      <c r="N173" s="124"/>
      <c r="O173" s="124"/>
      <c r="P173" s="124"/>
      <c r="Q173" s="124"/>
    </row>
    <row r="174" spans="2:17" x14ac:dyDescent="0.25">
      <c r="B174" s="124"/>
      <c r="C174" s="124"/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24"/>
      <c r="P174" s="124"/>
      <c r="Q174" s="124"/>
    </row>
    <row r="175" spans="2:17" x14ac:dyDescent="0.25">
      <c r="B175" s="124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</row>
    <row r="176" spans="2:17" x14ac:dyDescent="0.25">
      <c r="B176" s="124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</row>
  </sheetData>
  <mergeCells count="137">
    <mergeCell ref="C160:N160"/>
    <mergeCell ref="C161:N161"/>
    <mergeCell ref="C162:N162"/>
    <mergeCell ref="C163:N163"/>
    <mergeCell ref="C164:N164"/>
    <mergeCell ref="C151:N151"/>
    <mergeCell ref="B156:N156"/>
    <mergeCell ref="B157:N157"/>
    <mergeCell ref="C158:N158"/>
    <mergeCell ref="C159:N159"/>
    <mergeCell ref="C142:N142"/>
    <mergeCell ref="B146:N146"/>
    <mergeCell ref="C147:N147"/>
    <mergeCell ref="C148:D148"/>
    <mergeCell ref="E148:F148"/>
    <mergeCell ref="G148:H148"/>
    <mergeCell ref="I148:J148"/>
    <mergeCell ref="B137:N137"/>
    <mergeCell ref="C138:N138"/>
    <mergeCell ref="C139:D139"/>
    <mergeCell ref="E139:F139"/>
    <mergeCell ref="G139:H139"/>
    <mergeCell ref="I139:J139"/>
    <mergeCell ref="B127:N127"/>
    <mergeCell ref="C128:N128"/>
    <mergeCell ref="C129:D129"/>
    <mergeCell ref="E129:F129"/>
    <mergeCell ref="G129:H129"/>
    <mergeCell ref="I129:J129"/>
    <mergeCell ref="B117:N117"/>
    <mergeCell ref="C118:N118"/>
    <mergeCell ref="C119:D119"/>
    <mergeCell ref="E119:F119"/>
    <mergeCell ref="G119:H119"/>
    <mergeCell ref="I119:J119"/>
    <mergeCell ref="B107:L107"/>
    <mergeCell ref="C108:L108"/>
    <mergeCell ref="C109:D109"/>
    <mergeCell ref="E109:F109"/>
    <mergeCell ref="G109:H109"/>
    <mergeCell ref="I109:J109"/>
    <mergeCell ref="K109:L109"/>
    <mergeCell ref="C93:J93"/>
    <mergeCell ref="B97:L97"/>
    <mergeCell ref="C98:L98"/>
    <mergeCell ref="C99:D99"/>
    <mergeCell ref="E99:F99"/>
    <mergeCell ref="G99:H99"/>
    <mergeCell ref="I99:J99"/>
    <mergeCell ref="K99:L99"/>
    <mergeCell ref="B87:N87"/>
    <mergeCell ref="B88:J88"/>
    <mergeCell ref="C89:J89"/>
    <mergeCell ref="C90:D90"/>
    <mergeCell ref="E90:F90"/>
    <mergeCell ref="G90:H90"/>
    <mergeCell ref="I90:J90"/>
    <mergeCell ref="C76:N76"/>
    <mergeCell ref="C77:N77"/>
    <mergeCell ref="C78:N78"/>
    <mergeCell ref="C79:N79"/>
    <mergeCell ref="B1:N1"/>
    <mergeCell ref="C65:N65"/>
    <mergeCell ref="B71:N71"/>
    <mergeCell ref="B72:N72"/>
    <mergeCell ref="C73:N73"/>
    <mergeCell ref="C74:N74"/>
    <mergeCell ref="C75:N75"/>
    <mergeCell ref="C56:N56"/>
    <mergeCell ref="B60:N60"/>
    <mergeCell ref="C61:N61"/>
    <mergeCell ref="C62:D62"/>
    <mergeCell ref="E62:F62"/>
    <mergeCell ref="G62:H62"/>
    <mergeCell ref="I62:J62"/>
    <mergeCell ref="B51:N51"/>
    <mergeCell ref="C52:N52"/>
    <mergeCell ref="C53:D53"/>
    <mergeCell ref="E53:F53"/>
    <mergeCell ref="G53:H53"/>
    <mergeCell ref="I53:J53"/>
    <mergeCell ref="B41:N41"/>
    <mergeCell ref="C42:N42"/>
    <mergeCell ref="C43:D43"/>
    <mergeCell ref="E43:F43"/>
    <mergeCell ref="G43:H43"/>
    <mergeCell ref="I43:J43"/>
    <mergeCell ref="B31:N31"/>
    <mergeCell ref="C32:N32"/>
    <mergeCell ref="C33:D33"/>
    <mergeCell ref="E33:F33"/>
    <mergeCell ref="G33:H33"/>
    <mergeCell ref="I33:J33"/>
    <mergeCell ref="B21:L21"/>
    <mergeCell ref="C23:D23"/>
    <mergeCell ref="E23:F23"/>
    <mergeCell ref="G23:H23"/>
    <mergeCell ref="I23:J23"/>
    <mergeCell ref="K23:L23"/>
    <mergeCell ref="B22:D22"/>
    <mergeCell ref="B28:D28"/>
    <mergeCell ref="B30:N30"/>
    <mergeCell ref="B40:N40"/>
    <mergeCell ref="E13:F13"/>
    <mergeCell ref="G13:H13"/>
    <mergeCell ref="I13:J13"/>
    <mergeCell ref="K13:L13"/>
    <mergeCell ref="B2:J2"/>
    <mergeCell ref="E4:F4"/>
    <mergeCell ref="G4:H4"/>
    <mergeCell ref="I4:J4"/>
    <mergeCell ref="K2:N2"/>
    <mergeCell ref="B10:L10"/>
    <mergeCell ref="B70:N70"/>
    <mergeCell ref="B50:N50"/>
    <mergeCell ref="B59:N59"/>
    <mergeCell ref="P2:U2"/>
    <mergeCell ref="P3:U9"/>
    <mergeCell ref="B4:D4"/>
    <mergeCell ref="B5:D5"/>
    <mergeCell ref="B6:D6"/>
    <mergeCell ref="B8:D8"/>
    <mergeCell ref="E7:J7"/>
    <mergeCell ref="E3:J3"/>
    <mergeCell ref="B3:D3"/>
    <mergeCell ref="K3:N8"/>
    <mergeCell ref="B7:D7"/>
    <mergeCell ref="B18:D18"/>
    <mergeCell ref="B17:D17"/>
    <mergeCell ref="B16:D16"/>
    <mergeCell ref="B15:D15"/>
    <mergeCell ref="B14:D14"/>
    <mergeCell ref="B13:D13"/>
    <mergeCell ref="E22:L22"/>
    <mergeCell ref="E12:L12"/>
    <mergeCell ref="B12:D12"/>
    <mergeCell ref="B20:L20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7"/>
  <sheetViews>
    <sheetView topLeftCell="A15" workbookViewId="0">
      <selection activeCell="B2" sqref="B2:G17"/>
    </sheetView>
  </sheetViews>
  <sheetFormatPr defaultRowHeight="15" x14ac:dyDescent="0.25"/>
  <cols>
    <col min="4" max="4" width="22.5703125" customWidth="1"/>
    <col min="5" max="5" width="23.28515625" customWidth="1"/>
    <col min="6" max="6" width="26.85546875" customWidth="1"/>
    <col min="7" max="7" width="27.42578125" customWidth="1"/>
  </cols>
  <sheetData>
    <row r="2" spans="2:15" ht="19.5" x14ac:dyDescent="0.25">
      <c r="B2" s="323" t="s">
        <v>36</v>
      </c>
      <c r="C2" s="323"/>
      <c r="D2" s="323"/>
      <c r="E2" s="323"/>
      <c r="F2" s="323"/>
      <c r="G2" s="323"/>
    </row>
    <row r="3" spans="2:15" ht="15.75" x14ac:dyDescent="0.25">
      <c r="B3" s="324" t="s">
        <v>37</v>
      </c>
      <c r="C3" s="324"/>
      <c r="D3" s="324"/>
      <c r="E3" s="324"/>
      <c r="F3" s="324"/>
      <c r="G3" s="324"/>
    </row>
    <row r="4" spans="2:15" ht="21.75" thickBot="1" x14ac:dyDescent="0.3">
      <c r="B4" s="328" t="s">
        <v>38</v>
      </c>
      <c r="C4" s="329"/>
      <c r="D4" s="334" t="s">
        <v>39</v>
      </c>
      <c r="E4" s="335"/>
      <c r="F4" s="336"/>
      <c r="G4" s="329"/>
    </row>
    <row r="5" spans="2:15" ht="42" x14ac:dyDescent="0.25">
      <c r="B5" s="330"/>
      <c r="C5" s="331"/>
      <c r="D5" s="53" t="s">
        <v>40</v>
      </c>
      <c r="E5" s="55" t="s">
        <v>41</v>
      </c>
      <c r="F5" s="93" t="s">
        <v>42</v>
      </c>
      <c r="G5" s="98" t="s">
        <v>43</v>
      </c>
    </row>
    <row r="6" spans="2:15" ht="105" x14ac:dyDescent="0.25">
      <c r="B6" s="332"/>
      <c r="C6" s="333"/>
      <c r="D6" s="53" t="s">
        <v>44</v>
      </c>
      <c r="E6" s="55" t="s">
        <v>45</v>
      </c>
      <c r="F6" s="94" t="s">
        <v>46</v>
      </c>
      <c r="G6" s="99" t="s">
        <v>47</v>
      </c>
    </row>
    <row r="7" spans="2:15" ht="22.5" customHeight="1" x14ac:dyDescent="0.25">
      <c r="B7" s="337" t="s">
        <v>48</v>
      </c>
      <c r="C7" s="338"/>
      <c r="D7" s="89" t="s">
        <v>120</v>
      </c>
      <c r="E7" s="90" t="s">
        <v>121</v>
      </c>
      <c r="F7" s="95" t="s">
        <v>73</v>
      </c>
      <c r="G7" s="100" t="s">
        <v>74</v>
      </c>
    </row>
    <row r="8" spans="2:15" ht="23.25" customHeight="1" x14ac:dyDescent="0.25">
      <c r="B8" s="339" t="s">
        <v>49</v>
      </c>
      <c r="C8" s="54" t="s">
        <v>50</v>
      </c>
      <c r="D8" s="89" t="s">
        <v>122</v>
      </c>
      <c r="E8" s="90" t="s">
        <v>123</v>
      </c>
      <c r="F8" s="96" t="s">
        <v>75</v>
      </c>
      <c r="G8" s="101" t="s">
        <v>76</v>
      </c>
    </row>
    <row r="9" spans="2:15" ht="23.25" customHeight="1" x14ac:dyDescent="0.25">
      <c r="B9" s="340"/>
      <c r="C9" s="54" t="s">
        <v>51</v>
      </c>
      <c r="D9" s="89" t="s">
        <v>124</v>
      </c>
      <c r="E9" s="90" t="s">
        <v>125</v>
      </c>
      <c r="F9" s="95" t="s">
        <v>77</v>
      </c>
      <c r="G9" s="100" t="s">
        <v>78</v>
      </c>
    </row>
    <row r="10" spans="2:15" ht="23.25" customHeight="1" thickBot="1" x14ac:dyDescent="0.3">
      <c r="B10" s="341" t="s">
        <v>52</v>
      </c>
      <c r="C10" s="342"/>
      <c r="D10" s="91" t="s">
        <v>126</v>
      </c>
      <c r="E10" s="92" t="s">
        <v>127</v>
      </c>
      <c r="F10" s="97" t="s">
        <v>79</v>
      </c>
      <c r="G10" s="102" t="s">
        <v>80</v>
      </c>
    </row>
    <row r="11" spans="2:15" ht="21.75" thickBot="1" x14ac:dyDescent="0.3">
      <c r="B11" s="150" t="s">
        <v>53</v>
      </c>
      <c r="C11" s="151"/>
      <c r="D11" s="343" t="s">
        <v>81</v>
      </c>
      <c r="E11" s="344"/>
      <c r="F11" s="344"/>
      <c r="G11" s="345"/>
      <c r="O11" s="152"/>
    </row>
    <row r="12" spans="2:15" ht="20.25" thickBot="1" x14ac:dyDescent="0.3">
      <c r="B12" s="346" t="s">
        <v>54</v>
      </c>
      <c r="C12" s="346"/>
      <c r="D12" s="346"/>
      <c r="E12" s="346"/>
      <c r="F12" s="346"/>
      <c r="G12" s="346"/>
    </row>
    <row r="13" spans="2:15" ht="21.75" thickBot="1" x14ac:dyDescent="0.4">
      <c r="B13" s="84" t="s">
        <v>55</v>
      </c>
      <c r="C13" s="85"/>
      <c r="D13" s="85"/>
      <c r="E13" s="85"/>
      <c r="F13" s="85"/>
      <c r="G13" s="86"/>
    </row>
    <row r="14" spans="2:15" ht="152.25" customHeight="1" thickBot="1" x14ac:dyDescent="0.4">
      <c r="B14" s="325" t="s">
        <v>56</v>
      </c>
      <c r="C14" s="326"/>
      <c r="D14" s="326"/>
      <c r="E14" s="326"/>
      <c r="F14" s="326"/>
      <c r="G14" s="327"/>
    </row>
    <row r="15" spans="2:15" ht="161.25" customHeight="1" thickBot="1" x14ac:dyDescent="0.4">
      <c r="B15" s="325" t="s">
        <v>57</v>
      </c>
      <c r="C15" s="326"/>
      <c r="D15" s="326"/>
      <c r="E15" s="326"/>
      <c r="F15" s="326"/>
      <c r="G15" s="327"/>
    </row>
    <row r="16" spans="2:15" ht="21.75" thickBot="1" x14ac:dyDescent="0.4">
      <c r="B16" s="84" t="s">
        <v>58</v>
      </c>
      <c r="C16" s="85"/>
      <c r="D16" s="85"/>
      <c r="E16" s="85"/>
      <c r="F16" s="85"/>
      <c r="G16" s="86"/>
    </row>
    <row r="17" spans="2:7" ht="21.75" thickBot="1" x14ac:dyDescent="0.4">
      <c r="B17" s="84" t="s">
        <v>59</v>
      </c>
      <c r="C17" s="87"/>
      <c r="D17" s="87"/>
      <c r="E17" s="87"/>
      <c r="F17" s="87"/>
      <c r="G17" s="88"/>
    </row>
  </sheetData>
  <mergeCells count="11">
    <mergeCell ref="B2:G2"/>
    <mergeCell ref="B3:G3"/>
    <mergeCell ref="B14:G14"/>
    <mergeCell ref="B15:G15"/>
    <mergeCell ref="B4:C6"/>
    <mergeCell ref="D4:G4"/>
    <mergeCell ref="B7:C7"/>
    <mergeCell ref="B8:B9"/>
    <mergeCell ref="B10:C10"/>
    <mergeCell ref="D11:G11"/>
    <mergeCell ref="B12:G12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7"/>
  <sheetViews>
    <sheetView tabSelected="1" topLeftCell="C11" workbookViewId="0">
      <selection activeCell="B2" sqref="B2:M27"/>
    </sheetView>
  </sheetViews>
  <sheetFormatPr defaultRowHeight="15" x14ac:dyDescent="0.25"/>
  <cols>
    <col min="1" max="1" width="11" customWidth="1"/>
    <col min="2" max="2" width="15.5703125" customWidth="1"/>
    <col min="3" max="3" width="38.28515625" customWidth="1"/>
    <col min="4" max="4" width="18.28515625" customWidth="1"/>
    <col min="5" max="5" width="18.5703125" customWidth="1"/>
    <col min="6" max="6" width="18.42578125" customWidth="1"/>
    <col min="7" max="7" width="18.7109375" customWidth="1"/>
    <col min="8" max="8" width="18.140625" customWidth="1"/>
    <col min="9" max="9" width="18.28515625" customWidth="1"/>
    <col min="10" max="10" width="18.5703125" customWidth="1"/>
    <col min="11" max="12" width="18.140625" customWidth="1"/>
    <col min="13" max="13" width="17.85546875" customWidth="1"/>
  </cols>
  <sheetData>
    <row r="2" spans="1:13" ht="28.5" customHeight="1" x14ac:dyDescent="0.25">
      <c r="A2" s="347" t="s">
        <v>110</v>
      </c>
      <c r="B2" s="350" t="s">
        <v>111</v>
      </c>
      <c r="C2" s="357" t="s">
        <v>128</v>
      </c>
      <c r="D2" s="358"/>
      <c r="E2" s="358"/>
      <c r="F2" s="358"/>
      <c r="G2" s="358"/>
      <c r="H2" s="358"/>
      <c r="I2" s="358"/>
      <c r="J2" s="358"/>
      <c r="K2" s="358"/>
      <c r="L2" s="358"/>
      <c r="M2" s="359"/>
    </row>
    <row r="3" spans="1:13" ht="48" customHeight="1" x14ac:dyDescent="0.25">
      <c r="A3" s="348"/>
      <c r="B3" s="351"/>
      <c r="C3" s="360"/>
      <c r="D3" s="361"/>
      <c r="E3" s="361"/>
      <c r="F3" s="361"/>
      <c r="G3" s="361"/>
      <c r="H3" s="361"/>
      <c r="I3" s="361"/>
      <c r="J3" s="361"/>
      <c r="K3" s="361"/>
      <c r="L3" s="361"/>
      <c r="M3" s="362"/>
    </row>
    <row r="4" spans="1:13" ht="22.5" x14ac:dyDescent="0.45">
      <c r="A4" s="348"/>
      <c r="B4" s="351"/>
      <c r="C4" s="132" t="s">
        <v>19</v>
      </c>
      <c r="D4" s="355">
        <v>5</v>
      </c>
      <c r="E4" s="356"/>
      <c r="F4" s="355">
        <v>6</v>
      </c>
      <c r="G4" s="356"/>
      <c r="H4" s="355">
        <v>7</v>
      </c>
      <c r="I4" s="356"/>
      <c r="J4" s="355">
        <v>8</v>
      </c>
      <c r="K4" s="356"/>
      <c r="L4" s="355">
        <v>9</v>
      </c>
      <c r="M4" s="356"/>
    </row>
    <row r="5" spans="1:13" ht="22.5" x14ac:dyDescent="0.45">
      <c r="A5" s="348"/>
      <c r="B5" s="351"/>
      <c r="C5" s="132" t="s">
        <v>11</v>
      </c>
      <c r="D5" s="45">
        <v>1</v>
      </c>
      <c r="E5" s="46">
        <v>2</v>
      </c>
      <c r="F5" s="46">
        <v>1</v>
      </c>
      <c r="G5" s="46">
        <v>2</v>
      </c>
      <c r="H5" s="46">
        <v>1</v>
      </c>
      <c r="I5" s="46">
        <v>2</v>
      </c>
      <c r="J5" s="46">
        <v>1</v>
      </c>
      <c r="K5" s="46">
        <v>2</v>
      </c>
      <c r="L5" s="46">
        <v>1</v>
      </c>
      <c r="M5" s="46">
        <v>2</v>
      </c>
    </row>
    <row r="6" spans="1:13" ht="27" x14ac:dyDescent="0.5">
      <c r="A6" s="348"/>
      <c r="B6" s="351"/>
      <c r="C6" s="133" t="s">
        <v>12</v>
      </c>
      <c r="D6" s="17">
        <v>678.5</v>
      </c>
      <c r="E6" s="17">
        <v>724</v>
      </c>
      <c r="F6" s="17">
        <v>759</v>
      </c>
      <c r="G6" s="17">
        <v>810.5</v>
      </c>
      <c r="H6" s="17">
        <v>828.5</v>
      </c>
      <c r="I6" s="17">
        <v>883.5</v>
      </c>
      <c r="J6" s="17">
        <v>927.5</v>
      </c>
      <c r="K6" s="17">
        <v>990</v>
      </c>
      <c r="L6" s="17">
        <v>1038.5</v>
      </c>
      <c r="M6" s="17">
        <v>1109</v>
      </c>
    </row>
    <row r="7" spans="1:13" ht="48" customHeight="1" x14ac:dyDescent="0.45">
      <c r="A7" s="348"/>
      <c r="B7" s="351"/>
      <c r="C7" s="134" t="s">
        <v>13</v>
      </c>
      <c r="D7" s="47">
        <f>D6*0.24</f>
        <v>162.84</v>
      </c>
      <c r="E7" s="47">
        <f t="shared" ref="E7:M7" si="0">E6*0.24</f>
        <v>173.76</v>
      </c>
      <c r="F7" s="47">
        <f t="shared" si="0"/>
        <v>182.16</v>
      </c>
      <c r="G7" s="47">
        <f t="shared" si="0"/>
        <v>194.51999999999998</v>
      </c>
      <c r="H7" s="47">
        <f t="shared" si="0"/>
        <v>198.84</v>
      </c>
      <c r="I7" s="47">
        <f t="shared" si="0"/>
        <v>212.04</v>
      </c>
      <c r="J7" s="47">
        <f t="shared" si="0"/>
        <v>222.6</v>
      </c>
      <c r="K7" s="47">
        <f t="shared" si="0"/>
        <v>237.6</v>
      </c>
      <c r="L7" s="47">
        <f t="shared" si="0"/>
        <v>249.23999999999998</v>
      </c>
      <c r="M7" s="47">
        <f t="shared" si="0"/>
        <v>266.15999999999997</v>
      </c>
    </row>
    <row r="8" spans="1:13" ht="38.25" customHeight="1" x14ac:dyDescent="0.5">
      <c r="A8" s="348"/>
      <c r="B8" s="351"/>
      <c r="C8" s="133" t="s">
        <v>20</v>
      </c>
      <c r="D8" s="48">
        <f>SUM(D6:D7)</f>
        <v>841.34</v>
      </c>
      <c r="E8" s="48">
        <f t="shared" ref="E8:M8" si="1">SUM(E6:E7)</f>
        <v>897.76</v>
      </c>
      <c r="F8" s="48">
        <f t="shared" si="1"/>
        <v>941.16</v>
      </c>
      <c r="G8" s="48">
        <f t="shared" si="1"/>
        <v>1005.02</v>
      </c>
      <c r="H8" s="48">
        <f t="shared" si="1"/>
        <v>1027.3399999999999</v>
      </c>
      <c r="I8" s="48">
        <f t="shared" si="1"/>
        <v>1095.54</v>
      </c>
      <c r="J8" s="48">
        <f t="shared" si="1"/>
        <v>1150.0999999999999</v>
      </c>
      <c r="K8" s="48">
        <f t="shared" si="1"/>
        <v>1227.5999999999999</v>
      </c>
      <c r="L8" s="48">
        <f t="shared" si="1"/>
        <v>1287.74</v>
      </c>
      <c r="M8" s="48">
        <f t="shared" si="1"/>
        <v>1375.1599999999999</v>
      </c>
    </row>
    <row r="9" spans="1:13" ht="27" x14ac:dyDescent="0.5">
      <c r="A9" s="349"/>
      <c r="B9" s="352"/>
      <c r="C9" s="353" t="s">
        <v>60</v>
      </c>
      <c r="D9" s="353"/>
      <c r="E9" s="353"/>
      <c r="F9" s="353"/>
      <c r="G9" s="353"/>
      <c r="H9" s="353"/>
      <c r="I9" s="353"/>
      <c r="J9" s="353"/>
      <c r="K9" s="353"/>
      <c r="L9" s="353"/>
      <c r="M9" s="354"/>
    </row>
    <row r="10" spans="1:13" ht="27" customHeight="1" x14ac:dyDescent="0.5">
      <c r="A10" s="105" t="s">
        <v>82</v>
      </c>
      <c r="B10" s="136" t="s">
        <v>102</v>
      </c>
      <c r="C10" s="103" t="s">
        <v>89</v>
      </c>
      <c r="D10" s="49">
        <f>CEILING(D8:M8/100*3,0.5)</f>
        <v>25.5</v>
      </c>
      <c r="E10" s="49">
        <f t="shared" ref="E10:M10" si="2">CEILING(E8:N8/100*3,0.5)</f>
        <v>27</v>
      </c>
      <c r="F10" s="49">
        <f t="shared" si="2"/>
        <v>28.5</v>
      </c>
      <c r="G10" s="49">
        <f t="shared" si="2"/>
        <v>30.5</v>
      </c>
      <c r="H10" s="49">
        <f t="shared" si="2"/>
        <v>31</v>
      </c>
      <c r="I10" s="49">
        <f t="shared" si="2"/>
        <v>33</v>
      </c>
      <c r="J10" s="49">
        <f t="shared" si="2"/>
        <v>35</v>
      </c>
      <c r="K10" s="49">
        <f t="shared" si="2"/>
        <v>37</v>
      </c>
      <c r="L10" s="49">
        <f t="shared" si="2"/>
        <v>39</v>
      </c>
      <c r="M10" s="49">
        <f t="shared" si="2"/>
        <v>41.5</v>
      </c>
    </row>
    <row r="11" spans="1:13" ht="27" customHeight="1" x14ac:dyDescent="0.5">
      <c r="A11" s="105" t="s">
        <v>83</v>
      </c>
      <c r="B11" s="135" t="s">
        <v>103</v>
      </c>
      <c r="C11" s="103" t="s">
        <v>92</v>
      </c>
      <c r="D11" s="49">
        <f>CEILING(D8:M8/100*6,0.5)</f>
        <v>50.5</v>
      </c>
      <c r="E11" s="49">
        <f t="shared" ref="E11:M11" si="3">CEILING(E8:N8/100*6,0.5)</f>
        <v>54</v>
      </c>
      <c r="F11" s="49">
        <f t="shared" si="3"/>
        <v>56.5</v>
      </c>
      <c r="G11" s="49">
        <f t="shared" si="3"/>
        <v>60.5</v>
      </c>
      <c r="H11" s="49">
        <f t="shared" si="3"/>
        <v>62</v>
      </c>
      <c r="I11" s="49">
        <f t="shared" si="3"/>
        <v>66</v>
      </c>
      <c r="J11" s="49">
        <f t="shared" si="3"/>
        <v>69.5</v>
      </c>
      <c r="K11" s="49">
        <f t="shared" si="3"/>
        <v>74</v>
      </c>
      <c r="L11" s="49">
        <f t="shared" si="3"/>
        <v>77.5</v>
      </c>
      <c r="M11" s="49">
        <f t="shared" si="3"/>
        <v>83</v>
      </c>
    </row>
    <row r="12" spans="1:13" ht="27" customHeight="1" x14ac:dyDescent="0.5">
      <c r="A12" s="105" t="s">
        <v>85</v>
      </c>
      <c r="B12" s="135" t="s">
        <v>103</v>
      </c>
      <c r="C12" s="103" t="s">
        <v>90</v>
      </c>
      <c r="D12" s="50">
        <f>CEILING(D8:M8/100*8,0.5)</f>
        <v>67.5</v>
      </c>
      <c r="E12" s="50">
        <f t="shared" ref="E12:M12" si="4">CEILING(E8:N8/100*8,0.5)</f>
        <v>72</v>
      </c>
      <c r="F12" s="50">
        <f t="shared" si="4"/>
        <v>75.5</v>
      </c>
      <c r="G12" s="50">
        <f t="shared" si="4"/>
        <v>80.5</v>
      </c>
      <c r="H12" s="50">
        <f t="shared" si="4"/>
        <v>82.5</v>
      </c>
      <c r="I12" s="50">
        <f t="shared" si="4"/>
        <v>88</v>
      </c>
      <c r="J12" s="50">
        <f t="shared" si="4"/>
        <v>92.5</v>
      </c>
      <c r="K12" s="50">
        <f t="shared" si="4"/>
        <v>98.5</v>
      </c>
      <c r="L12" s="50">
        <f t="shared" si="4"/>
        <v>103.5</v>
      </c>
      <c r="M12" s="50">
        <f t="shared" si="4"/>
        <v>110.5</v>
      </c>
    </row>
    <row r="13" spans="1:13" ht="27" customHeight="1" x14ac:dyDescent="0.5">
      <c r="A13" s="105" t="s">
        <v>87</v>
      </c>
      <c r="B13" s="135" t="s">
        <v>103</v>
      </c>
      <c r="C13" s="103" t="s">
        <v>91</v>
      </c>
      <c r="D13" s="49">
        <f>CEILING(D8:M8/100*10,0.5 )</f>
        <v>84.5</v>
      </c>
      <c r="E13" s="49">
        <f t="shared" ref="E13:M13" si="5">CEILING(E8:N8/100*10,0.5 )</f>
        <v>90</v>
      </c>
      <c r="F13" s="49">
        <f t="shared" si="5"/>
        <v>94.5</v>
      </c>
      <c r="G13" s="49">
        <f t="shared" si="5"/>
        <v>101</v>
      </c>
      <c r="H13" s="49">
        <f t="shared" si="5"/>
        <v>103</v>
      </c>
      <c r="I13" s="49">
        <f t="shared" si="5"/>
        <v>110</v>
      </c>
      <c r="J13" s="49">
        <f t="shared" si="5"/>
        <v>115.5</v>
      </c>
      <c r="K13" s="49">
        <f t="shared" si="5"/>
        <v>123</v>
      </c>
      <c r="L13" s="49">
        <f t="shared" si="5"/>
        <v>129</v>
      </c>
      <c r="M13" s="49">
        <f t="shared" si="5"/>
        <v>138</v>
      </c>
    </row>
    <row r="14" spans="1:13" ht="27" customHeight="1" x14ac:dyDescent="0.5">
      <c r="A14" s="105" t="s">
        <v>88</v>
      </c>
      <c r="B14" s="135" t="s">
        <v>103</v>
      </c>
      <c r="C14" s="103" t="s">
        <v>101</v>
      </c>
      <c r="D14" s="49">
        <f>CEILING(D8:M8/100*12,0.5)</f>
        <v>101</v>
      </c>
      <c r="E14" s="49">
        <f t="shared" ref="E14:M14" si="6">CEILING(E8:N8/100*12,0.5)</f>
        <v>108</v>
      </c>
      <c r="F14" s="49">
        <f t="shared" si="6"/>
        <v>113</v>
      </c>
      <c r="G14" s="49">
        <f t="shared" si="6"/>
        <v>121</v>
      </c>
      <c r="H14" s="49">
        <f t="shared" si="6"/>
        <v>123.5</v>
      </c>
      <c r="I14" s="49">
        <f t="shared" si="6"/>
        <v>131.5</v>
      </c>
      <c r="J14" s="49">
        <f t="shared" si="6"/>
        <v>138.5</v>
      </c>
      <c r="K14" s="49">
        <f t="shared" si="6"/>
        <v>147.5</v>
      </c>
      <c r="L14" s="49">
        <f t="shared" si="6"/>
        <v>155</v>
      </c>
      <c r="M14" s="49">
        <f t="shared" si="6"/>
        <v>165.5</v>
      </c>
    </row>
    <row r="15" spans="1:13" ht="27" customHeight="1" x14ac:dyDescent="0.5">
      <c r="A15" s="105" t="s">
        <v>84</v>
      </c>
      <c r="B15" s="135" t="s">
        <v>104</v>
      </c>
      <c r="C15" s="104" t="s">
        <v>93</v>
      </c>
      <c r="D15" s="51">
        <f>CEILING(D8:M8/100*20,0.5)</f>
        <v>168.5</v>
      </c>
      <c r="E15" s="51">
        <f t="shared" ref="E15:M15" si="7">CEILING(E8:N8/100*20,0.5)</f>
        <v>180</v>
      </c>
      <c r="F15" s="51">
        <f t="shared" si="7"/>
        <v>188.5</v>
      </c>
      <c r="G15" s="51">
        <f t="shared" si="7"/>
        <v>201.5</v>
      </c>
      <c r="H15" s="51">
        <f t="shared" si="7"/>
        <v>205.5</v>
      </c>
      <c r="I15" s="51">
        <f t="shared" si="7"/>
        <v>219.5</v>
      </c>
      <c r="J15" s="51">
        <f t="shared" si="7"/>
        <v>230.5</v>
      </c>
      <c r="K15" s="51">
        <f t="shared" si="7"/>
        <v>246</v>
      </c>
      <c r="L15" s="51">
        <f t="shared" si="7"/>
        <v>258</v>
      </c>
      <c r="M15" s="51">
        <f t="shared" si="7"/>
        <v>275.5</v>
      </c>
    </row>
    <row r="16" spans="1:13" ht="27" x14ac:dyDescent="0.5">
      <c r="A16" s="105" t="s">
        <v>83</v>
      </c>
      <c r="B16" s="137" t="s">
        <v>42</v>
      </c>
      <c r="C16" s="104" t="s">
        <v>94</v>
      </c>
      <c r="D16" s="51">
        <f>CEILING(D8:M8/100*22,0.5)</f>
        <v>185.5</v>
      </c>
      <c r="E16" s="51">
        <f t="shared" ref="E16:M16" si="8">CEILING(E8:N8/100*22,0.5)</f>
        <v>198</v>
      </c>
      <c r="F16" s="51">
        <f t="shared" si="8"/>
        <v>207.5</v>
      </c>
      <c r="G16" s="51">
        <f t="shared" si="8"/>
        <v>221.5</v>
      </c>
      <c r="H16" s="51">
        <f t="shared" si="8"/>
        <v>226.5</v>
      </c>
      <c r="I16" s="51">
        <f t="shared" si="8"/>
        <v>241.5</v>
      </c>
      <c r="J16" s="51">
        <f t="shared" si="8"/>
        <v>253.5</v>
      </c>
      <c r="K16" s="51">
        <f t="shared" si="8"/>
        <v>270.5</v>
      </c>
      <c r="L16" s="51">
        <f t="shared" si="8"/>
        <v>283.5</v>
      </c>
      <c r="M16" s="51">
        <f t="shared" si="8"/>
        <v>303</v>
      </c>
    </row>
    <row r="17" spans="1:13" ht="27" x14ac:dyDescent="0.5">
      <c r="A17" s="105" t="s">
        <v>86</v>
      </c>
      <c r="B17" s="137" t="s">
        <v>43</v>
      </c>
      <c r="C17" s="104" t="s">
        <v>95</v>
      </c>
      <c r="D17" s="51">
        <f>CEILING(D8:M8/100*24,0.5)</f>
        <v>202</v>
      </c>
      <c r="E17" s="51">
        <f t="shared" ref="E17:M17" si="9">CEILING(E8:N8/100*24,0.5)</f>
        <v>215.5</v>
      </c>
      <c r="F17" s="51">
        <f t="shared" si="9"/>
        <v>226</v>
      </c>
      <c r="G17" s="51">
        <f t="shared" si="9"/>
        <v>241.5</v>
      </c>
      <c r="H17" s="51">
        <f t="shared" si="9"/>
        <v>247</v>
      </c>
      <c r="I17" s="51">
        <f t="shared" si="9"/>
        <v>263</v>
      </c>
      <c r="J17" s="51">
        <f t="shared" si="9"/>
        <v>276.5</v>
      </c>
      <c r="K17" s="51">
        <f t="shared" si="9"/>
        <v>295</v>
      </c>
      <c r="L17" s="51">
        <f t="shared" si="9"/>
        <v>309.5</v>
      </c>
      <c r="M17" s="51">
        <f t="shared" si="9"/>
        <v>330.5</v>
      </c>
    </row>
    <row r="18" spans="1:13" ht="27" x14ac:dyDescent="0.5">
      <c r="A18" s="105" t="s">
        <v>86</v>
      </c>
      <c r="B18" s="137" t="s">
        <v>105</v>
      </c>
      <c r="C18" s="104" t="s">
        <v>97</v>
      </c>
      <c r="D18" s="51">
        <f>CEILING(D8:M8/100*26,0.5)</f>
        <v>219</v>
      </c>
      <c r="E18" s="51">
        <f t="shared" ref="E18:M18" si="10">CEILING(E8:N8/100*26,0.5)</f>
        <v>233.5</v>
      </c>
      <c r="F18" s="51">
        <f t="shared" si="10"/>
        <v>245</v>
      </c>
      <c r="G18" s="51">
        <f t="shared" si="10"/>
        <v>261.5</v>
      </c>
      <c r="H18" s="51">
        <f t="shared" si="10"/>
        <v>267.5</v>
      </c>
      <c r="I18" s="51">
        <f t="shared" si="10"/>
        <v>285</v>
      </c>
      <c r="J18" s="51">
        <f t="shared" si="10"/>
        <v>299.5</v>
      </c>
      <c r="K18" s="51">
        <f t="shared" si="10"/>
        <v>319.5</v>
      </c>
      <c r="L18" s="51">
        <f t="shared" si="10"/>
        <v>335</v>
      </c>
      <c r="M18" s="51">
        <f t="shared" si="10"/>
        <v>358</v>
      </c>
    </row>
    <row r="19" spans="1:13" ht="27" x14ac:dyDescent="0.5">
      <c r="A19" s="105" t="s">
        <v>87</v>
      </c>
      <c r="B19" s="137" t="s">
        <v>43</v>
      </c>
      <c r="C19" s="104" t="s">
        <v>96</v>
      </c>
      <c r="D19" s="51">
        <f>CEILING(D8:M8/100*30,0.5)</f>
        <v>252.5</v>
      </c>
      <c r="E19" s="51">
        <f t="shared" ref="E19:M19" si="11">CEILING(E8:N8/100*30,0.5)</f>
        <v>269.5</v>
      </c>
      <c r="F19" s="51">
        <f t="shared" si="11"/>
        <v>282.5</v>
      </c>
      <c r="G19" s="51">
        <f t="shared" si="11"/>
        <v>302</v>
      </c>
      <c r="H19" s="51">
        <f t="shared" si="11"/>
        <v>308.5</v>
      </c>
      <c r="I19" s="51">
        <f t="shared" si="11"/>
        <v>329</v>
      </c>
      <c r="J19" s="51">
        <f t="shared" si="11"/>
        <v>345.5</v>
      </c>
      <c r="K19" s="51">
        <f t="shared" si="11"/>
        <v>368.5</v>
      </c>
      <c r="L19" s="51">
        <f t="shared" si="11"/>
        <v>386.5</v>
      </c>
      <c r="M19" s="51">
        <f t="shared" si="11"/>
        <v>413</v>
      </c>
    </row>
    <row r="20" spans="1:13" ht="27" x14ac:dyDescent="0.5">
      <c r="A20" s="105" t="s">
        <v>87</v>
      </c>
      <c r="B20" s="137" t="s">
        <v>105</v>
      </c>
      <c r="C20" s="104" t="s">
        <v>98</v>
      </c>
      <c r="D20" s="51">
        <f>CEILING(D8:M8/100*32,0.5)</f>
        <v>269.5</v>
      </c>
      <c r="E20" s="51">
        <f t="shared" ref="E20:M20" si="12">CEILING(E8:N8/100*32,0.5)</f>
        <v>287.5</v>
      </c>
      <c r="F20" s="51">
        <f t="shared" si="12"/>
        <v>301.5</v>
      </c>
      <c r="G20" s="51">
        <f t="shared" si="12"/>
        <v>322</v>
      </c>
      <c r="H20" s="51">
        <f t="shared" si="12"/>
        <v>329</v>
      </c>
      <c r="I20" s="51">
        <f t="shared" si="12"/>
        <v>351</v>
      </c>
      <c r="J20" s="51">
        <f t="shared" si="12"/>
        <v>368.5</v>
      </c>
      <c r="K20" s="51">
        <f t="shared" si="12"/>
        <v>393</v>
      </c>
      <c r="L20" s="51">
        <f t="shared" si="12"/>
        <v>412.5</v>
      </c>
      <c r="M20" s="51">
        <f t="shared" si="12"/>
        <v>440.5</v>
      </c>
    </row>
    <row r="21" spans="1:13" ht="27" x14ac:dyDescent="0.5">
      <c r="A21" s="105" t="s">
        <v>88</v>
      </c>
      <c r="B21" s="137" t="s">
        <v>43</v>
      </c>
      <c r="C21" s="104" t="s">
        <v>99</v>
      </c>
      <c r="D21" s="52">
        <f>CEILING(D8:M8/100*38,0.5)</f>
        <v>320</v>
      </c>
      <c r="E21" s="52">
        <f t="shared" ref="E21:M21" si="13">CEILING(E8:N8/100*38,0.5)</f>
        <v>341.5</v>
      </c>
      <c r="F21" s="52">
        <f t="shared" si="13"/>
        <v>358</v>
      </c>
      <c r="G21" s="52">
        <f t="shared" si="13"/>
        <v>382</v>
      </c>
      <c r="H21" s="52">
        <f t="shared" si="13"/>
        <v>390.5</v>
      </c>
      <c r="I21" s="52">
        <f t="shared" si="13"/>
        <v>416.5</v>
      </c>
      <c r="J21" s="52">
        <f t="shared" si="13"/>
        <v>437.5</v>
      </c>
      <c r="K21" s="52">
        <f t="shared" si="13"/>
        <v>466.5</v>
      </c>
      <c r="L21" s="52">
        <f t="shared" si="13"/>
        <v>489.5</v>
      </c>
      <c r="M21" s="52">
        <f t="shared" si="13"/>
        <v>523</v>
      </c>
    </row>
    <row r="22" spans="1:13" ht="27" x14ac:dyDescent="0.5">
      <c r="A22" s="105" t="s">
        <v>88</v>
      </c>
      <c r="B22" s="137" t="s">
        <v>42</v>
      </c>
      <c r="C22" s="104" t="s">
        <v>100</v>
      </c>
      <c r="D22" s="51">
        <f>CEILING(D8:M8/100*40,0.5)</f>
        <v>337</v>
      </c>
      <c r="E22" s="51">
        <f t="shared" ref="E22:M22" si="14">CEILING(E8:N8/100*40,0.5)</f>
        <v>359.5</v>
      </c>
      <c r="F22" s="51">
        <f t="shared" si="14"/>
        <v>376.5</v>
      </c>
      <c r="G22" s="51">
        <f t="shared" si="14"/>
        <v>402.5</v>
      </c>
      <c r="H22" s="51">
        <f t="shared" si="14"/>
        <v>411</v>
      </c>
      <c r="I22" s="51">
        <f t="shared" si="14"/>
        <v>438.5</v>
      </c>
      <c r="J22" s="51">
        <f t="shared" si="14"/>
        <v>460.5</v>
      </c>
      <c r="K22" s="51">
        <f t="shared" si="14"/>
        <v>491.5</v>
      </c>
      <c r="L22" s="51">
        <f t="shared" si="14"/>
        <v>515.5</v>
      </c>
      <c r="M22" s="51">
        <f t="shared" si="14"/>
        <v>550.5</v>
      </c>
    </row>
    <row r="24" spans="1:13" x14ac:dyDescent="0.25">
      <c r="C24" t="s">
        <v>70</v>
      </c>
      <c r="D24" t="s">
        <v>71</v>
      </c>
    </row>
    <row r="25" spans="1:13" x14ac:dyDescent="0.25">
      <c r="D25" t="s">
        <v>72</v>
      </c>
    </row>
    <row r="26" spans="1:13" x14ac:dyDescent="0.25">
      <c r="D26" t="s">
        <v>68</v>
      </c>
    </row>
    <row r="27" spans="1:13" x14ac:dyDescent="0.25">
      <c r="D27" s="81">
        <v>43467</v>
      </c>
    </row>
  </sheetData>
  <mergeCells count="9">
    <mergeCell ref="A2:A9"/>
    <mergeCell ref="B2:B9"/>
    <mergeCell ref="C9:M9"/>
    <mergeCell ref="D4:E4"/>
    <mergeCell ref="F4:G4"/>
    <mergeCell ref="H4:I4"/>
    <mergeCell ref="J4:K4"/>
    <mergeCell ref="L4:M4"/>
    <mergeCell ref="C2:M3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Hárok1</vt:lpstr>
      <vt:lpstr>Hárok2</vt:lpstr>
      <vt:lpstr>Hárok3</vt:lpstr>
      <vt:lpstr>Hárok4</vt:lpstr>
      <vt:lpstr>Hárok5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Šebjanová</dc:creator>
  <cp:lastModifiedBy>Alena Šebjanová</cp:lastModifiedBy>
  <cp:lastPrinted>2019-01-18T13:01:25Z</cp:lastPrinted>
  <dcterms:created xsi:type="dcterms:W3CDTF">2018-11-29T14:35:54Z</dcterms:created>
  <dcterms:modified xsi:type="dcterms:W3CDTF">2019-01-18T13:02:40Z</dcterms:modified>
</cp:coreProperties>
</file>